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Производственно-технический отдел\13_ ОБОРУДОВАНИЕ и  УСЛОВНЫЕ ЕДИНИЦЫ\2024\Для ЦОК\"/>
    </mc:Choice>
  </mc:AlternateContent>
  <xr:revisionPtr revIDLastSave="0" documentId="13_ncr:1_{5B3CD19C-792A-4A90-852D-208E3C0494C4}" xr6:coauthVersionLast="47" xr6:coauthVersionMax="47" xr10:uidLastSave="{00000000-0000-0000-0000-000000000000}"/>
  <bookViews>
    <workbookView xWindow="28680" yWindow="-120" windowWidth="29040" windowHeight="15990" firstSheet="1" activeTab="8" xr2:uid="{00000000-000D-0000-FFFF-FFFF00000000}"/>
  </bookViews>
  <sheets>
    <sheet name="2015" sheetId="4" state="hidden" r:id="rId1"/>
    <sheet name="2016" sheetId="6" r:id="rId2"/>
    <sheet name="2017" sheetId="7" r:id="rId3"/>
    <sheet name="2018" sheetId="8" r:id="rId4"/>
    <sheet name="2019" sheetId="9" r:id="rId5"/>
    <sheet name="2020" sheetId="11" r:id="rId6"/>
    <sheet name="2021" sheetId="12" r:id="rId7"/>
    <sheet name="2022" sheetId="14" r:id="rId8"/>
    <sheet name="2023" sheetId="15" r:id="rId9"/>
    <sheet name="На подпись" sheetId="2" state="hidden" r:id="rId10"/>
    <sheet name="Наброски" sheetId="1" state="hidden" r:id="rId11"/>
    <sheet name="для Букина на 02.03.16" sheetId="5" state="hidden" r:id="rId12"/>
  </sheets>
  <definedNames>
    <definedName name="_xlnm.Print_Area" localSheetId="0">'2015'!$A$1:$N$17</definedName>
    <definedName name="_xlnm.Print_Area" localSheetId="1">'2016'!$A$1:$P$18</definedName>
    <definedName name="_xlnm.Print_Area" localSheetId="2">'2017'!$A$1:$Q$18</definedName>
    <definedName name="_xlnm.Print_Area" localSheetId="3">'2018'!$A$1:$R$18</definedName>
    <definedName name="_xlnm.Print_Area" localSheetId="4">'2019'!$A$1:$R$18</definedName>
    <definedName name="_xlnm.Print_Area" localSheetId="5">'2020'!$A$1:$R$18</definedName>
  </definedNames>
  <calcPr calcId="181029"/>
</workbook>
</file>

<file path=xl/calcChain.xml><?xml version="1.0" encoding="utf-8"?>
<calcChain xmlns="http://schemas.openxmlformats.org/spreadsheetml/2006/main">
  <c r="F9" i="15" l="1"/>
  <c r="G9" i="15" s="1"/>
  <c r="G14" i="15" s="1"/>
  <c r="G15" i="15"/>
  <c r="G10" i="15"/>
  <c r="H9" i="14"/>
  <c r="F13" i="15"/>
  <c r="G13" i="15" s="1"/>
  <c r="C13" i="15"/>
  <c r="F12" i="15"/>
  <c r="G12" i="15" s="1"/>
  <c r="C12" i="15"/>
  <c r="F11" i="15"/>
  <c r="G11" i="15" s="1"/>
  <c r="P10" i="15"/>
  <c r="F10" i="15"/>
  <c r="P9" i="15"/>
  <c r="F9" i="14"/>
  <c r="F13" i="14"/>
  <c r="G13" i="14" s="1"/>
  <c r="C13" i="14"/>
  <c r="F12" i="14"/>
  <c r="G12" i="14" s="1"/>
  <c r="C12" i="14"/>
  <c r="F11" i="14"/>
  <c r="G11" i="14" s="1"/>
  <c r="P10" i="14"/>
  <c r="F10" i="14"/>
  <c r="G10" i="14" s="1"/>
  <c r="P9" i="14"/>
  <c r="G9" i="14"/>
  <c r="F13" i="12"/>
  <c r="G13" i="12" s="1"/>
  <c r="C13" i="12"/>
  <c r="F12" i="12"/>
  <c r="G12" i="12" s="1"/>
  <c r="C12" i="12"/>
  <c r="F11" i="12"/>
  <c r="G11" i="12" s="1"/>
  <c r="P10" i="12"/>
  <c r="F10" i="12"/>
  <c r="G10" i="12" s="1"/>
  <c r="G15" i="12" s="1"/>
  <c r="P9" i="12"/>
  <c r="F9" i="12"/>
  <c r="G9" i="12" s="1"/>
  <c r="H9" i="15" l="1"/>
  <c r="G15" i="14"/>
  <c r="G14" i="14"/>
  <c r="G14" i="12"/>
  <c r="H9" i="12"/>
  <c r="F10" i="11" l="1"/>
  <c r="F11" i="11"/>
  <c r="F12" i="11"/>
  <c r="F13" i="11"/>
  <c r="F9" i="11"/>
  <c r="G10" i="11" l="1"/>
  <c r="G11" i="11"/>
  <c r="G12" i="11"/>
  <c r="G13" i="11"/>
  <c r="C13" i="11" l="1"/>
  <c r="C12" i="11"/>
  <c r="P10" i="11"/>
  <c r="P9" i="11"/>
  <c r="G9" i="11"/>
  <c r="G13" i="9"/>
  <c r="C13" i="9"/>
  <c r="F12" i="9"/>
  <c r="G12" i="9" s="1"/>
  <c r="C12" i="9"/>
  <c r="F11" i="9"/>
  <c r="G11" i="9" s="1"/>
  <c r="P10" i="9"/>
  <c r="F10" i="9"/>
  <c r="G10" i="9" s="1"/>
  <c r="P9" i="9"/>
  <c r="F9" i="9"/>
  <c r="G9" i="9" s="1"/>
  <c r="F12" i="8"/>
  <c r="G12" i="8" s="1"/>
  <c r="F11" i="8"/>
  <c r="F10" i="8"/>
  <c r="G10" i="8" s="1"/>
  <c r="F9" i="8"/>
  <c r="G9" i="8" s="1"/>
  <c r="G11" i="8"/>
  <c r="C13" i="8"/>
  <c r="C12" i="8"/>
  <c r="P10" i="8"/>
  <c r="P9" i="8"/>
  <c r="G15" i="11" l="1"/>
  <c r="G14" i="11"/>
  <c r="H9" i="11"/>
  <c r="G15" i="9"/>
  <c r="H9" i="9"/>
  <c r="G14" i="9"/>
  <c r="G13" i="8"/>
  <c r="G14" i="8" s="1"/>
  <c r="G15" i="8"/>
  <c r="D11" i="7"/>
  <c r="F11" i="7" s="1"/>
  <c r="G11" i="7" s="1"/>
  <c r="D10" i="7"/>
  <c r="F10" i="7" s="1"/>
  <c r="G10" i="7" s="1"/>
  <c r="D9" i="7"/>
  <c r="F9" i="7" s="1"/>
  <c r="C13" i="7"/>
  <c r="D13" i="7" s="1"/>
  <c r="F13" i="7" s="1"/>
  <c r="C12" i="7"/>
  <c r="D12" i="7" s="1"/>
  <c r="P10" i="7"/>
  <c r="P9" i="7"/>
  <c r="D12" i="6"/>
  <c r="C13" i="6"/>
  <c r="D13" i="6" s="1"/>
  <c r="C12" i="6"/>
  <c r="C11" i="6"/>
  <c r="D11" i="6" s="1"/>
  <c r="C10" i="6"/>
  <c r="D10" i="6" s="1"/>
  <c r="C9" i="6"/>
  <c r="D9" i="6" s="1"/>
  <c r="G9" i="7" l="1"/>
  <c r="H9" i="7" s="1"/>
  <c r="H9" i="8"/>
  <c r="G13" i="7"/>
  <c r="F12" i="7"/>
  <c r="G12" i="7" s="1"/>
  <c r="G15" i="7" s="1"/>
  <c r="G14" i="7" l="1"/>
  <c r="P10" i="6"/>
  <c r="P9" i="6"/>
  <c r="F13" i="6"/>
  <c r="G13" i="6" s="1"/>
  <c r="F12" i="6"/>
  <c r="G12" i="6" s="1"/>
  <c r="F11" i="6"/>
  <c r="G11" i="6" s="1"/>
  <c r="F10" i="6"/>
  <c r="G10" i="6" s="1"/>
  <c r="G15" i="6" s="1"/>
  <c r="F9" i="6"/>
  <c r="G9" i="6" s="1"/>
  <c r="G14" i="6" s="1"/>
  <c r="D9" i="4"/>
  <c r="D13" i="4"/>
  <c r="D12" i="4"/>
  <c r="D11" i="4"/>
  <c r="D10" i="4"/>
  <c r="C9" i="4"/>
  <c r="E9" i="4" s="1"/>
  <c r="F9" i="4" s="1"/>
  <c r="C13" i="4"/>
  <c r="E13" i="4" s="1"/>
  <c r="F13" i="4" s="1"/>
  <c r="C10" i="4"/>
  <c r="C11" i="4"/>
  <c r="C12" i="4"/>
  <c r="E11" i="4" l="1"/>
  <c r="H9" i="6"/>
  <c r="E10" i="4"/>
  <c r="F10" i="4" s="1"/>
  <c r="F15" i="4" s="1"/>
  <c r="F11" i="4"/>
  <c r="F14" i="4" s="1"/>
  <c r="E12" i="4"/>
  <c r="F12" i="4" s="1"/>
  <c r="B31" i="2"/>
  <c r="I8" i="2"/>
  <c r="C22" i="2"/>
  <c r="C23" i="2" s="1"/>
  <c r="C24" i="2" s="1"/>
  <c r="E10" i="2"/>
  <c r="M9" i="2"/>
  <c r="M10" i="2"/>
  <c r="M11" i="2"/>
  <c r="M12" i="2"/>
  <c r="M8" i="2"/>
  <c r="I10" i="2"/>
  <c r="I12" i="2"/>
  <c r="E12" i="2"/>
  <c r="J32" i="2"/>
  <c r="J33" i="2" s="1"/>
  <c r="C32" i="2"/>
  <c r="C33" i="2" s="1"/>
  <c r="C26" i="2"/>
  <c r="C27" i="2" s="1"/>
  <c r="C28" i="2" s="1"/>
  <c r="G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mozhov_ps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 xml:space="preserve">столбец 1 х 86,2%
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0"/>
            <color indexed="81"/>
            <rFont val="Tahoma"/>
            <family val="2"/>
            <charset val="204"/>
          </rPr>
          <t>Сумма столбцов 7-13</t>
        </r>
      </text>
    </comment>
    <comment ref="E9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0"/>
            <color indexed="81"/>
            <rFont val="Tahoma"/>
            <family val="2"/>
            <charset val="204"/>
          </rPr>
          <t xml:space="preserve">Столебец 2 - столбец 3
</t>
        </r>
      </text>
    </comment>
    <comment ref="F9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b/>
            <sz val="10"/>
            <color indexed="81"/>
            <rFont val="Tahoma"/>
            <family val="2"/>
            <charset val="204"/>
          </rPr>
          <t xml:space="preserve">
стобец 4 / столбец 1 * 100 %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mozhov_ps</author>
  </authors>
  <commentList>
    <comment ref="C9" authorId="0" shapeId="0" xr:uid="{00000000-0006-0000-0800-000001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0"/>
            <color indexed="81"/>
            <rFont val="Tahoma"/>
            <family val="2"/>
            <charset val="204"/>
          </rPr>
          <t xml:space="preserve">Столебец 2 - столбец 3
</t>
        </r>
      </text>
    </comment>
    <comment ref="D9" authorId="0" shapeId="0" xr:uid="{00000000-0006-0000-0800-000002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b/>
            <sz val="10"/>
            <color indexed="81"/>
            <rFont val="Tahoma"/>
            <family val="2"/>
            <charset val="204"/>
          </rPr>
          <t xml:space="preserve">
стобец 4 / столбец 1 * 100 %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mozhov_ps</author>
  </authors>
  <commentList>
    <comment ref="D9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столбец 4 из листа 2015 минус разница столбцов 1 из листа 2015 и листа 2016</t>
        </r>
      </text>
    </comment>
    <comment ref="F9" authorId="0" shapeId="0" xr:uid="{00000000-0006-0000-0100-000002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0"/>
            <color indexed="81"/>
            <rFont val="Tahoma"/>
            <family val="2"/>
            <charset val="204"/>
          </rPr>
          <t xml:space="preserve">Столебец 2 - столбец 3
</t>
        </r>
      </text>
    </comment>
    <comment ref="G9" authorId="0" shapeId="0" xr:uid="{00000000-0006-0000-0100-000003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b/>
            <sz val="10"/>
            <color indexed="81"/>
            <rFont val="Tahoma"/>
            <family val="2"/>
            <charset val="204"/>
          </rPr>
          <t xml:space="preserve">
стобец 4 / столбец 1 * 100 %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mozhov_ps</author>
  </authors>
  <commentList>
    <comment ref="D9" authorId="0" shapeId="0" xr:uid="{00000000-0006-0000-0200-000001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столбец 4 из листа 2015 минус разница столбцов 1 из листа 2016 и листа 2017</t>
        </r>
      </text>
    </comment>
    <comment ref="F9" authorId="0" shapeId="0" xr:uid="{00000000-0006-0000-0200-000002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0"/>
            <color indexed="81"/>
            <rFont val="Tahoma"/>
            <family val="2"/>
            <charset val="204"/>
          </rPr>
          <t xml:space="preserve">Столебец 2 - столбец 3
</t>
        </r>
      </text>
    </comment>
    <comment ref="G9" authorId="0" shapeId="0" xr:uid="{00000000-0006-0000-0200-000003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b/>
            <sz val="10"/>
            <color indexed="81"/>
            <rFont val="Tahoma"/>
            <family val="2"/>
            <charset val="204"/>
          </rPr>
          <t xml:space="preserve">
стобец 4 / столбец 1 * 100 %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mozhov_ps</author>
  </authors>
  <commentList>
    <comment ref="D9" authorId="0" shapeId="0" xr:uid="{00000000-0006-0000-0300-000001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столбец 4 из листа 2017</t>
        </r>
      </text>
    </comment>
    <comment ref="F9" authorId="0" shapeId="0" xr:uid="{00000000-0006-0000-0300-000002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(</t>
        </r>
        <r>
          <rPr>
            <b/>
            <sz val="10"/>
            <color indexed="81"/>
            <rFont val="Tahoma"/>
            <family val="2"/>
            <charset val="204"/>
          </rPr>
          <t>Столебец 2 - столбец 3)*1,027 коэффициент износа за год</t>
        </r>
      </text>
    </comment>
    <comment ref="G9" authorId="0" shapeId="0" xr:uid="{00000000-0006-0000-0300-000003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b/>
            <sz val="10"/>
            <color indexed="81"/>
            <rFont val="Tahoma"/>
            <family val="2"/>
            <charset val="204"/>
          </rPr>
          <t xml:space="preserve">
стобец 4 / столбец 1 * 100 %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mozhov_ps</author>
  </authors>
  <commentList>
    <comment ref="D9" authorId="0" shapeId="0" xr:uid="{00000000-0006-0000-0400-000001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столбец 4 из листа 2017</t>
        </r>
      </text>
    </comment>
    <comment ref="F9" authorId="0" shapeId="0" xr:uid="{00000000-0006-0000-0400-000002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(</t>
        </r>
        <r>
          <rPr>
            <b/>
            <sz val="10"/>
            <color indexed="81"/>
            <rFont val="Tahoma"/>
            <family val="2"/>
            <charset val="204"/>
          </rPr>
          <t>Столебец 2 - столбец 3)*1,027 коэффициент износа за год</t>
        </r>
      </text>
    </comment>
    <comment ref="G9" authorId="0" shapeId="0" xr:uid="{00000000-0006-0000-0400-000003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b/>
            <sz val="10"/>
            <color indexed="81"/>
            <rFont val="Tahoma"/>
            <family val="2"/>
            <charset val="204"/>
          </rPr>
          <t xml:space="preserve">
стобец 4 / столбец 1 * 100 %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Gnatyuk_OV</author>
    <author>mozhov_ps</author>
  </authors>
  <commentList>
    <comment ref="D6" authorId="0" shapeId="0" xr:uid="{00000000-0006-0000-0500-000001000000}">
      <text>
        <r>
          <rPr>
            <b/>
            <sz val="8"/>
            <color indexed="81"/>
            <rFont val="Tahoma"/>
            <charset val="1"/>
          </rPr>
          <t>Gnatyuk_OV:</t>
        </r>
        <r>
          <rPr>
            <sz val="8"/>
            <color indexed="81"/>
            <rFont val="Tahoma"/>
            <charset val="1"/>
          </rPr>
          <t xml:space="preserve">
Если сети не убавились по сравнению с прошлым годом, а наоборот прибавились то цифра остается с предыдущего года с 4 столбца</t>
        </r>
      </text>
    </comment>
    <comment ref="D9" authorId="1" shapeId="0" xr:uid="{00000000-0006-0000-0500-000002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столбец 4 из листа предыдущего года - (ушедшие сети столбец 1 из актуального года - столбец 1 из прошлого года), умноженный на столбец 5 из прошлого года</t>
        </r>
      </text>
    </comment>
    <comment ref="F9" authorId="1" shapeId="0" xr:uid="{00000000-0006-0000-0500-000003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(</t>
        </r>
        <r>
          <rPr>
            <b/>
            <sz val="10"/>
            <color indexed="81"/>
            <rFont val="Tahoma"/>
            <family val="2"/>
            <charset val="204"/>
          </rPr>
          <t>Столебец 2 - столбец 3)*1,027 коэффициент износа за год</t>
        </r>
      </text>
    </comment>
    <comment ref="G9" authorId="1" shapeId="0" xr:uid="{00000000-0006-0000-0500-000004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b/>
            <sz val="10"/>
            <color indexed="81"/>
            <rFont val="Tahoma"/>
            <family val="2"/>
            <charset val="204"/>
          </rPr>
          <t xml:space="preserve">
стобец 4 / столбец 1 * 100 %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Gnatyuk_OV</author>
    <author>mozhov_ps</author>
  </authors>
  <commentList>
    <comment ref="D6" authorId="0" shapeId="0" xr:uid="{D80C2391-1B64-4D79-9636-41666096C789}">
      <text>
        <r>
          <rPr>
            <b/>
            <sz val="8"/>
            <color indexed="81"/>
            <rFont val="Tahoma"/>
            <charset val="1"/>
          </rPr>
          <t>Gnatyuk_OV:</t>
        </r>
        <r>
          <rPr>
            <sz val="8"/>
            <color indexed="81"/>
            <rFont val="Tahoma"/>
            <charset val="1"/>
          </rPr>
          <t xml:space="preserve">
Если сети не убавились по сравнению с прошлым годом, а наоборот прибавились то цифра остается с предыдущего года с 4 столбца</t>
        </r>
      </text>
    </comment>
    <comment ref="D9" authorId="1" shapeId="0" xr:uid="{A4DF5F59-CB2D-410E-8DC0-1D529808327F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столбец 4 из листа предыдущего года - (ушедшие сети столбец 1 из актуального года - столбец 1 из прошлого года), умноженный на столбец 5 из прошлого года</t>
        </r>
      </text>
    </comment>
    <comment ref="F9" authorId="1" shapeId="0" xr:uid="{5557767C-7655-4DE5-ADB5-41B33E9D9F15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(</t>
        </r>
        <r>
          <rPr>
            <b/>
            <sz val="10"/>
            <color indexed="81"/>
            <rFont val="Tahoma"/>
            <family val="2"/>
            <charset val="204"/>
          </rPr>
          <t>Столебец 2 - столбец 3)*1,027 коэффициент износа за год</t>
        </r>
      </text>
    </comment>
    <comment ref="G9" authorId="1" shapeId="0" xr:uid="{E03C8489-2D3A-495D-A454-517A8F43209E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b/>
            <sz val="10"/>
            <color indexed="81"/>
            <rFont val="Tahoma"/>
            <family val="2"/>
            <charset val="204"/>
          </rPr>
          <t xml:space="preserve">
стобец 4 / столбец 1 * 100 %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Gnatyuk_OV</author>
    <author>mozhov_ps</author>
    <author>Гнатюк Олег Владимирович</author>
  </authors>
  <commentList>
    <comment ref="D6" authorId="0" shapeId="0" xr:uid="{FC63A2C7-291C-4C5A-A305-2438EC88231B}">
      <text>
        <r>
          <rPr>
            <b/>
            <sz val="8"/>
            <color indexed="81"/>
            <rFont val="Tahoma"/>
            <charset val="1"/>
          </rPr>
          <t>Gnatyuk_OV:</t>
        </r>
        <r>
          <rPr>
            <sz val="8"/>
            <color indexed="81"/>
            <rFont val="Tahoma"/>
            <charset val="1"/>
          </rPr>
          <t xml:space="preserve">
Если сети не убавились по сравнению с прошлым годом, а наоборот прибавились то цифра остается с предыдущего года с 4 столбца</t>
        </r>
      </text>
    </comment>
    <comment ref="D9" authorId="1" shapeId="0" xr:uid="{8AEC44F2-6CB8-479D-BE87-F0AD4D81AE3C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столбец 4 из листа предыдущего года - (ушедшие сети столбец 1 из актуального года - столбец 1 из прошлого года), умноженный на столбец 5 из прошлого года</t>
        </r>
      </text>
    </comment>
    <comment ref="F9" authorId="1" shapeId="0" xr:uid="{E6C3D3A9-8215-4188-9215-6E447B7EFDB8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(</t>
        </r>
        <r>
          <rPr>
            <b/>
            <sz val="10"/>
            <color indexed="81"/>
            <rFont val="Tahoma"/>
            <family val="2"/>
            <charset val="204"/>
          </rPr>
          <t>Столебец 2 - столбец 3)*1,027 коэффициент износа за год</t>
        </r>
      </text>
    </comment>
    <comment ref="G9" authorId="1" shapeId="0" xr:uid="{D2E89107-F780-4112-9353-8119CDA949B1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b/>
            <sz val="10"/>
            <color indexed="81"/>
            <rFont val="Tahoma"/>
            <family val="2"/>
            <charset val="204"/>
          </rPr>
          <t xml:space="preserve">
стобец 4 / столбец 1 * 100 %</t>
        </r>
      </text>
    </comment>
    <comment ref="A13" authorId="2" shapeId="0" xr:uid="{357FB146-3AA4-4E34-8B07-F7A0B68D837A}">
      <text>
        <r>
          <rPr>
            <b/>
            <sz val="9"/>
            <color indexed="81"/>
            <rFont val="Tahoma"/>
            <family val="2"/>
            <charset val="204"/>
          </rPr>
          <t>Гнатюк Олег Владимирович:</t>
        </r>
        <r>
          <rPr>
            <sz val="9"/>
            <color indexed="81"/>
            <rFont val="Tahoma"/>
            <family val="2"/>
            <charset val="204"/>
          </rPr>
          <t xml:space="preserve">
количество отремонтированных силовых трансформаторов по кап.рем.+ТП (кап.рем.)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Gnatyuk_OV</author>
    <author>mozhov_ps</author>
    <author>Гнатюк Олег Владимирович</author>
  </authors>
  <commentList>
    <comment ref="D6" authorId="0" shapeId="0" xr:uid="{AB55EA38-EDAC-461A-A933-5C8C7D861AEF}">
      <text>
        <r>
          <rPr>
            <b/>
            <sz val="8"/>
            <color indexed="81"/>
            <rFont val="Tahoma"/>
            <charset val="1"/>
          </rPr>
          <t>Gnatyuk_OV:</t>
        </r>
        <r>
          <rPr>
            <sz val="8"/>
            <color indexed="81"/>
            <rFont val="Tahoma"/>
            <charset val="1"/>
          </rPr>
          <t xml:space="preserve">
Если сети не убавились по сравнению с прошлым годом, а наоборот прибавились то цифра остается с предыдущего года с 4 столбца</t>
        </r>
      </text>
    </comment>
    <comment ref="D9" authorId="1" shapeId="0" xr:uid="{33AB2972-99B5-41AB-8A53-1F147C61D509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столбец 4 из листа предыдущего года - (ушедшие сети столбец 1 из актуального года - столбец 1 из прошлого года), умноженный на столбец 5 из прошлого года</t>
        </r>
      </text>
    </comment>
    <comment ref="F9" authorId="1" shapeId="0" xr:uid="{B2E8069F-1961-411F-98FA-8E0F0B15E287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(</t>
        </r>
        <r>
          <rPr>
            <b/>
            <sz val="10"/>
            <color indexed="81"/>
            <rFont val="Tahoma"/>
            <family val="2"/>
            <charset val="204"/>
          </rPr>
          <t>Столебец 2 - столбец 3)*1,027 коэффициент износа за год</t>
        </r>
      </text>
    </comment>
    <comment ref="G9" authorId="1" shapeId="0" xr:uid="{6177E591-97CE-46CE-90C0-C34C21C7AE3E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b/>
            <sz val="10"/>
            <color indexed="81"/>
            <rFont val="Tahoma"/>
            <family val="2"/>
            <charset val="204"/>
          </rPr>
          <t xml:space="preserve">
стобец 4 / столбец 1 * 100 %</t>
        </r>
      </text>
    </comment>
    <comment ref="A13" authorId="2" shapeId="0" xr:uid="{7BA47B34-2955-4E69-A504-30E2DB89B45F}">
      <text>
        <r>
          <rPr>
            <b/>
            <sz val="9"/>
            <color indexed="81"/>
            <rFont val="Tahoma"/>
            <family val="2"/>
            <charset val="204"/>
          </rPr>
          <t>Гнатюк Олег Владимирович:</t>
        </r>
        <r>
          <rPr>
            <sz val="9"/>
            <color indexed="81"/>
            <rFont val="Tahoma"/>
            <family val="2"/>
            <charset val="204"/>
          </rPr>
          <t xml:space="preserve">
количество отремонтированных силовых трансформаторов по кап.рем.+ТП (кап.рем.)</t>
        </r>
      </text>
    </comment>
  </commentList>
</comments>
</file>

<file path=xl/sharedStrings.xml><?xml version="1.0" encoding="utf-8"?>
<sst xmlns="http://schemas.openxmlformats.org/spreadsheetml/2006/main" count="393" uniqueCount="100">
  <si>
    <t>Год</t>
  </si>
  <si>
    <t>Наименование ремонтируемого объекта</t>
  </si>
  <si>
    <t>ВЛ-0,4 кВ</t>
  </si>
  <si>
    <t>КЛ-0,4 кВ</t>
  </si>
  <si>
    <t>ВЛ-6/10 кВ</t>
  </si>
  <si>
    <t>КЛ-6/10 кВ</t>
  </si>
  <si>
    <t>ТП 10/0,4 кВ</t>
  </si>
  <si>
    <t>-</t>
  </si>
  <si>
    <t>2009 г.</t>
  </si>
  <si>
    <t>2010 г.</t>
  </si>
  <si>
    <t>2011 г.</t>
  </si>
  <si>
    <t>Изменение % износа отремонтированных объектов</t>
  </si>
  <si>
    <t xml:space="preserve">Сводные данные по отремонтированным и приведенным  </t>
  </si>
  <si>
    <t>в нормативное состояние объектам и изношенности электросетей</t>
  </si>
  <si>
    <t>Общий % износа сетей</t>
  </si>
  <si>
    <t>ОАО "Ульяновская сетевая компания" за 2009-2011 год</t>
  </si>
  <si>
    <t>Данные по отремонтированным объектам за 2009-2011 год</t>
  </si>
  <si>
    <t>Данные по изношенности электросетей за 2009-2011 год</t>
  </si>
  <si>
    <t>Изменение %    износа отремонтиров    анных объектов</t>
  </si>
  <si>
    <t>Наименование  объекта</t>
  </si>
  <si>
    <t>Всего по ОАО "УСК"</t>
  </si>
  <si>
    <t>Отремонтировано по ОАО "УСК"</t>
  </si>
  <si>
    <t>% износа</t>
  </si>
  <si>
    <t>Уменьшение % износа</t>
  </si>
  <si>
    <t>Изношено</t>
  </si>
  <si>
    <t>Отремонтировано</t>
  </si>
  <si>
    <t>Осталось изношеных</t>
  </si>
  <si>
    <t>% износа после ремонта</t>
  </si>
  <si>
    <t>ВЛ-6/10 кВ (км.)</t>
  </si>
  <si>
    <t>КЛ-6/10 кВ (км.)</t>
  </si>
  <si>
    <t>ВЛ-0,4 кВ (км.)</t>
  </si>
  <si>
    <t>КЛ-0,4 кВ (км.)</t>
  </si>
  <si>
    <t>ТП 10/0,4 кВ (шт.)</t>
  </si>
  <si>
    <t>Приложение №1</t>
  </si>
  <si>
    <t>Генеральный директор                                                                        И.В. Перфилов</t>
  </si>
  <si>
    <t>* хозспособ+подряд</t>
  </si>
  <si>
    <t>ТП 10/0,4 кВ (шт.) электрическая часть</t>
  </si>
  <si>
    <t xml:space="preserve">Процент оставшихся изношенных сетей  </t>
  </si>
  <si>
    <t>Средний процент изношенности</t>
  </si>
  <si>
    <t>Процент изначального износа сетей на 2009 год 86,2 %</t>
  </si>
  <si>
    <t>Генеральный директор                                                                        С.С. Мизонин</t>
  </si>
  <si>
    <t>АО "Ульяновская сетевая компания" за 2009-2015 год</t>
  </si>
  <si>
    <t>Осталось изношенных сетей на 31.12.2015</t>
  </si>
  <si>
    <t>Итого отремонтированно 2009-2015</t>
  </si>
  <si>
    <t>Количество оборудования по АО "УСК"</t>
  </si>
  <si>
    <t>Отремонтировано по АО "УСК"*</t>
  </si>
  <si>
    <t>Начальник ПТО</t>
  </si>
  <si>
    <t>А.П. Лазарев</t>
  </si>
  <si>
    <t>______________</t>
  </si>
  <si>
    <t>Начальник ОРС</t>
  </si>
  <si>
    <t>Ф.М. Валиахметов</t>
  </si>
  <si>
    <t>Осталось изношенных сетей на 31.12.2016</t>
  </si>
  <si>
    <t>АО "Ульяновская сетевая компания" за 2009-2016 год</t>
  </si>
  <si>
    <t>СН2</t>
  </si>
  <si>
    <t>НН</t>
  </si>
  <si>
    <t>Разница 2015-2016</t>
  </si>
  <si>
    <t>Осталось изношенных сетей на 01.01.2016</t>
  </si>
  <si>
    <t>Отремонтированно 2016</t>
  </si>
  <si>
    <t>Осталось изношенных сетей на 01.01.2017</t>
  </si>
  <si>
    <t>Разница 2016-2017</t>
  </si>
  <si>
    <t>Отремонтированно 2017</t>
  </si>
  <si>
    <t>АО "Ульяновская сетевая компания" за 2009-2017 год</t>
  </si>
  <si>
    <t>Осталось изношенных сетей на 31.12.2017</t>
  </si>
  <si>
    <t>П.С. Можов</t>
  </si>
  <si>
    <t>Осталось изношенных сетей на 01.01.2018</t>
  </si>
  <si>
    <t>АО "Ульяновская сетевая компания" за 2009-2018 год</t>
  </si>
  <si>
    <t>Количество оборудования по АО "УСК" на 01.01.2018</t>
  </si>
  <si>
    <t>А.А. Иванов</t>
  </si>
  <si>
    <t>Отремонтированно 2018</t>
  </si>
  <si>
    <t>Осталось изношенных сетей на 31.12.2018</t>
  </si>
  <si>
    <t>АО "Ульяновская сетевая компания" за 2009-2019 год</t>
  </si>
  <si>
    <t>Количество оборудования по АО "УСК" на 01.01.2019</t>
  </si>
  <si>
    <t>Осталось изношенных сетей на 01.01.2019</t>
  </si>
  <si>
    <t>Отремонтированно 2019</t>
  </si>
  <si>
    <t>Осталось изношенных сетей на 31.12.2019</t>
  </si>
  <si>
    <t>Отремонтированно 2020</t>
  </si>
  <si>
    <t>Количество оборудования по АО "УСК" на 01.01.2020</t>
  </si>
  <si>
    <t>Осталось изношенных сетей на 01.01.2020</t>
  </si>
  <si>
    <t>Осталось изношенных сетей на 31.12.2020</t>
  </si>
  <si>
    <t>АО "Ульяновская сетевая компания" за 2009-2020 год</t>
  </si>
  <si>
    <t>АО "Ульяновская сетевая компания" за 2009-2021 год</t>
  </si>
  <si>
    <t>И.о. начальника ПТО</t>
  </si>
  <si>
    <t>О.В.Гнатюк</t>
  </si>
  <si>
    <t>А.Е. Пчелкин</t>
  </si>
  <si>
    <t>С.А. Казанцев</t>
  </si>
  <si>
    <t>Количество оборудования по АО "УСК" на 01.01.2021</t>
  </si>
  <si>
    <t>Осталось изношенных сетей на 01.01.2021</t>
  </si>
  <si>
    <t>Отремонтированно 2021</t>
  </si>
  <si>
    <t>Осталось изношенных сетей на 31.12.2021</t>
  </si>
  <si>
    <t>Количество оборудования по АО "УСК" на 01.01.2022</t>
  </si>
  <si>
    <t>Осталось изношенных сетей на 01.01.2022</t>
  </si>
  <si>
    <t>Отремонтированно 2022</t>
  </si>
  <si>
    <t>Осталось изношенных сетей на 31.12.2022</t>
  </si>
  <si>
    <t>АО "Ульяновская сетевая компания" за 2009-2022 год</t>
  </si>
  <si>
    <t>Количество оборудования по АО "УСК" на 01.01.2023</t>
  </si>
  <si>
    <t>Отремонтированно 2023</t>
  </si>
  <si>
    <t>Осталось изношенных сетей на 01.01.2023</t>
  </si>
  <si>
    <t>Осталось изношенных сетей на 31.12.2023</t>
  </si>
  <si>
    <t>АО "Ульяновская сетевая компания" за 2009-2023 год</t>
  </si>
  <si>
    <t>С.Д. Домнин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</si>
</sst>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#,##0.000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0" xfId="0" applyFont="1"/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wrapText="1"/>
    </xf>
    <xf numFmtId="0" fontId="2" fillId="0" borderId="12" xfId="0" applyFont="1" applyBorder="1" applyAlignment="1">
      <alignment horizontal="left" vertic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2" xfId="0" applyBorder="1"/>
    <xf numFmtId="0" fontId="2" fillId="0" borderId="13" xfId="0" applyFont="1" applyBorder="1" applyAlignment="1">
      <alignment horizontal="left" wrapText="1"/>
    </xf>
    <xf numFmtId="0" fontId="5" fillId="0" borderId="22" xfId="0" applyFont="1" applyBorder="1" applyAlignment="1">
      <alignment vertical="center" wrapText="1"/>
    </xf>
    <xf numFmtId="0" fontId="4" fillId="0" borderId="23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24" xfId="0" applyFont="1" applyBorder="1" applyAlignment="1">
      <alignment wrapText="1"/>
    </xf>
    <xf numFmtId="0" fontId="2" fillId="0" borderId="11" xfId="0" applyFont="1" applyBorder="1" applyAlignment="1">
      <alignment horizontal="left"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0" fontId="2" fillId="0" borderId="26" xfId="0" applyFont="1" applyBorder="1" applyAlignment="1">
      <alignment horizontal="center" vertical="center"/>
    </xf>
    <xf numFmtId="0" fontId="0" fillId="0" borderId="27" xfId="0" applyBorder="1" applyAlignment="1">
      <alignment wrapText="1"/>
    </xf>
    <xf numFmtId="0" fontId="2" fillId="0" borderId="17" xfId="0" applyFont="1" applyBorder="1" applyAlignment="1">
      <alignment horizontal="center" vertical="center"/>
    </xf>
    <xf numFmtId="0" fontId="4" fillId="0" borderId="26" xfId="0" applyFont="1" applyBorder="1" applyAlignment="1">
      <alignment wrapText="1"/>
    </xf>
    <xf numFmtId="0" fontId="4" fillId="0" borderId="2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wrapText="1"/>
    </xf>
    <xf numFmtId="0" fontId="4" fillId="0" borderId="1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2" fontId="4" fillId="0" borderId="27" xfId="0" applyNumberFormat="1" applyFont="1" applyBorder="1" applyAlignment="1">
      <alignment wrapText="1"/>
    </xf>
    <xf numFmtId="2" fontId="4" fillId="0" borderId="15" xfId="0" applyNumberFormat="1" applyFont="1" applyBorder="1" applyAlignment="1">
      <alignment wrapText="1"/>
    </xf>
    <xf numFmtId="2" fontId="4" fillId="0" borderId="18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4" fillId="0" borderId="25" xfId="0" applyFont="1" applyBorder="1" applyAlignment="1">
      <alignment horizontal="left" wrapText="1"/>
    </xf>
    <xf numFmtId="2" fontId="4" fillId="0" borderId="26" xfId="0" applyNumberFormat="1" applyFont="1" applyBorder="1" applyAlignment="1">
      <alignment wrapText="1"/>
    </xf>
    <xf numFmtId="0" fontId="4" fillId="0" borderId="14" xfId="0" applyFont="1" applyBorder="1" applyAlignment="1">
      <alignment horizontal="left" wrapText="1"/>
    </xf>
    <xf numFmtId="0" fontId="4" fillId="0" borderId="1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wrapText="1"/>
    </xf>
    <xf numFmtId="2" fontId="4" fillId="0" borderId="17" xfId="0" applyNumberFormat="1" applyFont="1" applyBorder="1" applyAlignment="1">
      <alignment wrapText="1"/>
    </xf>
    <xf numFmtId="0" fontId="5" fillId="0" borderId="2" xfId="0" applyFont="1" applyBorder="1"/>
    <xf numFmtId="0" fontId="4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14" fillId="0" borderId="0" xfId="0" applyFont="1"/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4"/>
  <sheetViews>
    <sheetView zoomScaleNormal="100" workbookViewId="0">
      <selection activeCell="E6" sqref="E6:E7"/>
    </sheetView>
  </sheetViews>
  <sheetFormatPr defaultRowHeight="15" x14ac:dyDescent="0.25"/>
  <cols>
    <col min="1" max="1" width="17.140625" customWidth="1"/>
    <col min="2" max="2" width="15.140625" customWidth="1"/>
    <col min="3" max="3" width="14.7109375" customWidth="1"/>
    <col min="4" max="4" width="10.42578125" customWidth="1"/>
    <col min="5" max="5" width="13.28515625" customWidth="1"/>
    <col min="6" max="6" width="13.5703125" customWidth="1"/>
    <col min="7" max="7" width="12.140625" customWidth="1"/>
    <col min="8" max="8" width="5.5703125" customWidth="1"/>
    <col min="9" max="9" width="7.42578125" customWidth="1"/>
    <col min="10" max="11" width="5.7109375" customWidth="1"/>
    <col min="12" max="12" width="6.140625" customWidth="1"/>
    <col min="13" max="13" width="6.7109375" customWidth="1"/>
    <col min="14" max="14" width="7.28515625" customWidth="1"/>
  </cols>
  <sheetData>
    <row r="2" spans="1:14" ht="18.75" x14ac:dyDescent="0.3">
      <c r="A2" s="85" t="s">
        <v>12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ht="18.75" x14ac:dyDescent="0.3">
      <c r="A3" s="85" t="s">
        <v>13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14" ht="18.75" customHeight="1" x14ac:dyDescent="0.3">
      <c r="A4" s="86" t="s">
        <v>41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</row>
    <row r="6" spans="1:14" x14ac:dyDescent="0.25">
      <c r="A6" s="89" t="s">
        <v>19</v>
      </c>
      <c r="B6" s="89" t="s">
        <v>44</v>
      </c>
      <c r="C6" s="89" t="s">
        <v>39</v>
      </c>
      <c r="D6" s="89" t="s">
        <v>43</v>
      </c>
      <c r="E6" s="89" t="s">
        <v>42</v>
      </c>
      <c r="F6" s="89" t="s">
        <v>37</v>
      </c>
      <c r="G6" s="89" t="s">
        <v>38</v>
      </c>
      <c r="H6" s="91" t="s">
        <v>45</v>
      </c>
      <c r="I6" s="91"/>
      <c r="J6" s="91"/>
      <c r="K6" s="91"/>
      <c r="L6" s="91"/>
      <c r="M6" s="91"/>
      <c r="N6" s="91"/>
    </row>
    <row r="7" spans="1:14" ht="57.75" customHeight="1" x14ac:dyDescent="0.25">
      <c r="A7" s="90"/>
      <c r="B7" s="90"/>
      <c r="C7" s="90"/>
      <c r="D7" s="90"/>
      <c r="E7" s="90"/>
      <c r="F7" s="90"/>
      <c r="G7" s="90"/>
      <c r="H7" s="73">
        <v>2009</v>
      </c>
      <c r="I7" s="73">
        <v>2010</v>
      </c>
      <c r="J7" s="73">
        <v>2011</v>
      </c>
      <c r="K7" s="73">
        <v>2012</v>
      </c>
      <c r="L7" s="73">
        <v>2013</v>
      </c>
      <c r="M7" s="73">
        <v>2014</v>
      </c>
      <c r="N7" s="73">
        <v>2015</v>
      </c>
    </row>
    <row r="8" spans="1:14" ht="13.5" customHeight="1" x14ac:dyDescent="0.25">
      <c r="A8" s="62"/>
      <c r="B8" s="69">
        <v>1</v>
      </c>
      <c r="C8" s="69">
        <v>2</v>
      </c>
      <c r="D8" s="69">
        <v>3</v>
      </c>
      <c r="E8" s="69">
        <v>4</v>
      </c>
      <c r="F8" s="69">
        <v>5</v>
      </c>
      <c r="G8" s="69">
        <v>6</v>
      </c>
      <c r="H8" s="73">
        <v>7</v>
      </c>
      <c r="I8" s="73">
        <v>8</v>
      </c>
      <c r="J8" s="61">
        <v>9</v>
      </c>
      <c r="K8" s="61">
        <v>10</v>
      </c>
      <c r="L8" s="61">
        <v>11</v>
      </c>
      <c r="M8" s="61">
        <v>12</v>
      </c>
      <c r="N8" s="61">
        <v>13</v>
      </c>
    </row>
    <row r="9" spans="1:14" x14ac:dyDescent="0.25">
      <c r="A9" s="63" t="s">
        <v>28</v>
      </c>
      <c r="B9" s="43">
        <v>794.82</v>
      </c>
      <c r="C9" s="65">
        <f>B9*0.862</f>
        <v>685.13484000000005</v>
      </c>
      <c r="D9" s="68">
        <f>SUM(H9:N9)</f>
        <v>184.745</v>
      </c>
      <c r="E9" s="68">
        <f>C9-D9</f>
        <v>500.38984000000005</v>
      </c>
      <c r="F9" s="68">
        <f>E9/B9*100</f>
        <v>62.956372512015299</v>
      </c>
      <c r="G9" s="88">
        <f>(F9+F10+F11+F12+F13)/5</f>
        <v>71.264891038345155</v>
      </c>
      <c r="H9" s="42">
        <v>48.95</v>
      </c>
      <c r="I9" s="42">
        <v>6.1</v>
      </c>
      <c r="J9" s="42">
        <v>56.95</v>
      </c>
      <c r="K9" s="42">
        <v>22.26</v>
      </c>
      <c r="L9" s="42">
        <v>17.170000000000002</v>
      </c>
      <c r="M9" s="42">
        <v>15.085000000000001</v>
      </c>
      <c r="N9" s="42">
        <v>18.23</v>
      </c>
    </row>
    <row r="10" spans="1:14" x14ac:dyDescent="0.25">
      <c r="A10" s="63" t="s">
        <v>30</v>
      </c>
      <c r="B10" s="43">
        <v>2394.17</v>
      </c>
      <c r="C10" s="65">
        <f t="shared" ref="C10:C12" si="0">B10*0.862</f>
        <v>2063.7745399999999</v>
      </c>
      <c r="D10" s="68">
        <f>SUM(H10:N10)</f>
        <v>535.53700000000003</v>
      </c>
      <c r="E10" s="68">
        <f t="shared" ref="E10:E12" si="1">C10-D10</f>
        <v>1528.2375399999999</v>
      </c>
      <c r="F10" s="68">
        <f t="shared" ref="F10:F11" si="2">E10/B10*100</f>
        <v>63.831621814658099</v>
      </c>
      <c r="G10" s="88"/>
      <c r="H10" s="43">
        <v>197.45</v>
      </c>
      <c r="I10" s="43">
        <v>29.7</v>
      </c>
      <c r="J10" s="42">
        <v>100.94</v>
      </c>
      <c r="K10" s="42">
        <v>43.03</v>
      </c>
      <c r="L10" s="42">
        <v>64.739999999999995</v>
      </c>
      <c r="M10" s="42">
        <v>55.587000000000003</v>
      </c>
      <c r="N10" s="42">
        <v>44.09</v>
      </c>
    </row>
    <row r="11" spans="1:14" x14ac:dyDescent="0.25">
      <c r="A11" s="63" t="s">
        <v>29</v>
      </c>
      <c r="B11" s="43">
        <v>99.99</v>
      </c>
      <c r="C11" s="65">
        <f t="shared" si="0"/>
        <v>86.191379999999995</v>
      </c>
      <c r="D11" s="68">
        <f>SUM(H11:N11)</f>
        <v>8.2800000000000011</v>
      </c>
      <c r="E11" s="68">
        <f>C11-D11</f>
        <v>77.911379999999994</v>
      </c>
      <c r="F11" s="68">
        <f t="shared" si="2"/>
        <v>77.919171917191719</v>
      </c>
      <c r="G11" s="88"/>
      <c r="H11" s="42"/>
      <c r="I11" s="42">
        <v>0.4</v>
      </c>
      <c r="J11" s="42">
        <v>1.87</v>
      </c>
      <c r="K11" s="42">
        <v>2.0499999999999998</v>
      </c>
      <c r="L11" s="42">
        <v>2.56</v>
      </c>
      <c r="M11" s="42">
        <v>1.0900000000000001</v>
      </c>
      <c r="N11" s="42">
        <v>0.31</v>
      </c>
    </row>
    <row r="12" spans="1:14" x14ac:dyDescent="0.25">
      <c r="A12" s="63" t="s">
        <v>31</v>
      </c>
      <c r="B12" s="43">
        <v>150.11000000000001</v>
      </c>
      <c r="C12" s="65">
        <f t="shared" si="0"/>
        <v>129.39482000000001</v>
      </c>
      <c r="D12" s="70">
        <f>SUM(H12:N12)</f>
        <v>0.45</v>
      </c>
      <c r="E12" s="68">
        <f t="shared" si="1"/>
        <v>128.94482000000002</v>
      </c>
      <c r="F12" s="68">
        <f>E12/B12*100</f>
        <v>85.900219838784892</v>
      </c>
      <c r="G12" s="88"/>
      <c r="H12" s="42"/>
      <c r="I12" s="42">
        <v>0.2</v>
      </c>
      <c r="J12" s="42"/>
      <c r="K12" s="42">
        <v>0.25</v>
      </c>
      <c r="L12" s="42"/>
      <c r="M12" s="42"/>
      <c r="N12" s="42"/>
    </row>
    <row r="13" spans="1:14" ht="36" customHeight="1" x14ac:dyDescent="0.25">
      <c r="A13" s="63" t="s">
        <v>36</v>
      </c>
      <c r="B13" s="43">
        <v>1201</v>
      </c>
      <c r="C13" s="66">
        <f>B13*0.862</f>
        <v>1035.2619999999999</v>
      </c>
      <c r="D13" s="68">
        <f>SUM(H13:N13)</f>
        <v>246</v>
      </c>
      <c r="E13" s="65">
        <f>C13-D13</f>
        <v>789.26199999999994</v>
      </c>
      <c r="F13" s="65">
        <f>E13/B13*100</f>
        <v>65.717069109075766</v>
      </c>
      <c r="G13" s="88"/>
      <c r="H13" s="42">
        <v>35</v>
      </c>
      <c r="I13" s="42">
        <v>39</v>
      </c>
      <c r="J13" s="42">
        <v>119</v>
      </c>
      <c r="K13" s="42">
        <v>5</v>
      </c>
      <c r="L13" s="42">
        <v>27</v>
      </c>
      <c r="M13" s="42">
        <v>14</v>
      </c>
      <c r="N13" s="42">
        <v>7</v>
      </c>
    </row>
    <row r="14" spans="1:14" x14ac:dyDescent="0.25">
      <c r="A14" s="74" t="s">
        <v>53</v>
      </c>
      <c r="B14" s="64"/>
      <c r="C14" s="75"/>
      <c r="D14" s="76"/>
      <c r="E14" s="77"/>
      <c r="F14" s="77">
        <f>SUM(F9,F11,F13)/3</f>
        <v>68.864204512760935</v>
      </c>
      <c r="G14" s="76"/>
      <c r="H14" s="78"/>
      <c r="I14" s="78"/>
      <c r="J14" s="78"/>
      <c r="K14" s="78"/>
      <c r="L14" s="78"/>
      <c r="M14" s="78"/>
      <c r="N14" s="78"/>
    </row>
    <row r="15" spans="1:14" x14ac:dyDescent="0.25">
      <c r="A15" s="74" t="s">
        <v>54</v>
      </c>
      <c r="B15" s="64"/>
      <c r="C15" s="75"/>
      <c r="D15" s="76"/>
      <c r="E15" s="77"/>
      <c r="F15" s="77">
        <f>SUM(F10,F12)/2</f>
        <v>74.865920826721492</v>
      </c>
      <c r="G15" s="76"/>
      <c r="H15" s="78"/>
      <c r="I15" s="78"/>
      <c r="J15" s="78"/>
      <c r="K15" s="78"/>
      <c r="L15" s="78"/>
      <c r="M15" s="78"/>
      <c r="N15" s="78"/>
    </row>
    <row r="17" spans="1:14" ht="14.25" customHeight="1" x14ac:dyDescent="0.25">
      <c r="A17" s="67" t="s">
        <v>35</v>
      </c>
      <c r="B17" s="60"/>
      <c r="C17" s="60"/>
      <c r="D17" s="60"/>
      <c r="E17" s="60"/>
      <c r="F17" s="60"/>
      <c r="G17" s="60"/>
      <c r="H17" s="60"/>
    </row>
    <row r="18" spans="1:14" ht="14.25" customHeight="1" x14ac:dyDescent="0.25">
      <c r="A18" s="60"/>
      <c r="B18" s="60"/>
      <c r="C18" s="60"/>
      <c r="D18" s="60"/>
      <c r="E18" s="60"/>
      <c r="F18" s="60"/>
      <c r="G18" s="60"/>
      <c r="H18" s="60"/>
    </row>
    <row r="19" spans="1:14" ht="16.5" x14ac:dyDescent="0.25">
      <c r="A19" s="87" t="s">
        <v>40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</row>
    <row r="22" spans="1:14" x14ac:dyDescent="0.25">
      <c r="A22" s="71" t="s">
        <v>46</v>
      </c>
      <c r="B22" s="71" t="s">
        <v>47</v>
      </c>
      <c r="C22" s="71" t="s">
        <v>48</v>
      </c>
      <c r="D22" s="72"/>
    </row>
    <row r="23" spans="1:14" x14ac:dyDescent="0.25">
      <c r="A23" s="71"/>
      <c r="B23" s="71"/>
      <c r="C23" s="71"/>
      <c r="D23" s="72"/>
      <c r="H23" s="64"/>
    </row>
    <row r="24" spans="1:14" x14ac:dyDescent="0.25">
      <c r="A24" s="71" t="s">
        <v>49</v>
      </c>
      <c r="B24" s="71" t="s">
        <v>50</v>
      </c>
      <c r="C24" s="71" t="s">
        <v>48</v>
      </c>
      <c r="D24" s="72"/>
      <c r="E24" s="71"/>
    </row>
  </sheetData>
  <mergeCells count="13">
    <mergeCell ref="A2:N2"/>
    <mergeCell ref="A3:N3"/>
    <mergeCell ref="A4:N4"/>
    <mergeCell ref="A19:N19"/>
    <mergeCell ref="G9:G13"/>
    <mergeCell ref="D6:D7"/>
    <mergeCell ref="B6:B7"/>
    <mergeCell ref="F6:F7"/>
    <mergeCell ref="C6:C7"/>
    <mergeCell ref="E6:E7"/>
    <mergeCell ref="G6:G7"/>
    <mergeCell ref="H6:N6"/>
    <mergeCell ref="A6:A7"/>
  </mergeCells>
  <pageMargins left="0.70866141732283472" right="0.70866141732283472" top="0.35433070866141736" bottom="0.74803149606299213" header="0" footer="0"/>
  <pageSetup paperSize="9" scale="9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3"/>
  <sheetViews>
    <sheetView zoomScale="130" zoomScaleNormal="130" workbookViewId="0">
      <selection activeCell="G20" sqref="G20"/>
    </sheetView>
  </sheetViews>
  <sheetFormatPr defaultRowHeight="15" x14ac:dyDescent="0.25"/>
  <cols>
    <col min="1" max="1" width="15.85546875" customWidth="1"/>
    <col min="2" max="3" width="9.140625" customWidth="1"/>
    <col min="5" max="5" width="10" customWidth="1"/>
    <col min="6" max="7" width="9.140625" customWidth="1"/>
    <col min="9" max="9" width="11.28515625" customWidth="1"/>
    <col min="10" max="11" width="9.140625" customWidth="1"/>
    <col min="13" max="13" width="11.28515625" customWidth="1"/>
  </cols>
  <sheetData>
    <row r="1" spans="1:13" x14ac:dyDescent="0.25">
      <c r="L1" s="99" t="s">
        <v>33</v>
      </c>
      <c r="M1" s="99"/>
    </row>
    <row r="2" spans="1:13" ht="18.75" x14ac:dyDescent="0.3">
      <c r="A2" s="85" t="s">
        <v>12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3" ht="18.75" x14ac:dyDescent="0.3">
      <c r="A3" s="85" t="s">
        <v>13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3" ht="18.75" customHeight="1" x14ac:dyDescent="0.3">
      <c r="A4" s="86" t="s">
        <v>15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</row>
    <row r="5" spans="1:13" ht="15.75" thickBot="1" x14ac:dyDescent="0.3"/>
    <row r="6" spans="1:13" ht="15.75" thickBot="1" x14ac:dyDescent="0.3">
      <c r="A6" s="59" t="s">
        <v>0</v>
      </c>
      <c r="B6" s="101">
        <v>2009</v>
      </c>
      <c r="C6" s="102"/>
      <c r="D6" s="102"/>
      <c r="E6" s="103"/>
      <c r="F6" s="101">
        <v>2010</v>
      </c>
      <c r="G6" s="102"/>
      <c r="H6" s="102"/>
      <c r="I6" s="103"/>
      <c r="J6" s="101">
        <v>2011</v>
      </c>
      <c r="K6" s="102"/>
      <c r="L6" s="102"/>
      <c r="M6" s="103"/>
    </row>
    <row r="7" spans="1:13" ht="51.75" thickBot="1" x14ac:dyDescent="0.3">
      <c r="A7" s="30" t="s">
        <v>19</v>
      </c>
      <c r="B7" s="46" t="s">
        <v>20</v>
      </c>
      <c r="C7" s="47" t="s">
        <v>22</v>
      </c>
      <c r="D7" s="47" t="s">
        <v>21</v>
      </c>
      <c r="E7" s="48" t="s">
        <v>27</v>
      </c>
      <c r="F7" s="46" t="s">
        <v>20</v>
      </c>
      <c r="G7" s="47" t="s">
        <v>22</v>
      </c>
      <c r="H7" s="47" t="s">
        <v>21</v>
      </c>
      <c r="I7" s="48" t="s">
        <v>27</v>
      </c>
      <c r="J7" s="46" t="s">
        <v>20</v>
      </c>
      <c r="K7" s="47" t="s">
        <v>22</v>
      </c>
      <c r="L7" s="47" t="s">
        <v>21</v>
      </c>
      <c r="M7" s="48" t="s">
        <v>27</v>
      </c>
    </row>
    <row r="8" spans="1:13" x14ac:dyDescent="0.25">
      <c r="A8" s="53" t="s">
        <v>28</v>
      </c>
      <c r="B8" s="40">
        <v>880.2</v>
      </c>
      <c r="C8" s="96">
        <v>77.349999999999994</v>
      </c>
      <c r="D8" s="41">
        <v>48.95</v>
      </c>
      <c r="E8" s="54">
        <v>71.790000000000006</v>
      </c>
      <c r="F8" s="40">
        <v>756.18</v>
      </c>
      <c r="G8" s="96">
        <v>75.849999999999994</v>
      </c>
      <c r="H8" s="41">
        <v>43.58</v>
      </c>
      <c r="I8" s="54">
        <f>((F8*0.7585)-H8)*100/F8</f>
        <v>70.086821920706697</v>
      </c>
      <c r="J8" s="40">
        <v>629.99</v>
      </c>
      <c r="K8" s="96">
        <v>74.900000000000006</v>
      </c>
      <c r="L8" s="41">
        <v>28.72</v>
      </c>
      <c r="M8" s="49">
        <f>((J8*0.749)-L8)*100/J8</f>
        <v>70.341197479325075</v>
      </c>
    </row>
    <row r="9" spans="1:13" x14ac:dyDescent="0.25">
      <c r="A9" s="55" t="s">
        <v>29</v>
      </c>
      <c r="B9" s="8">
        <v>117.6</v>
      </c>
      <c r="C9" s="97"/>
      <c r="D9" s="42" t="s">
        <v>7</v>
      </c>
      <c r="E9" s="52">
        <v>77.349999999999994</v>
      </c>
      <c r="F9" s="8">
        <v>146.88999999999999</v>
      </c>
      <c r="G9" s="97"/>
      <c r="H9" s="42" t="s">
        <v>7</v>
      </c>
      <c r="I9" s="52">
        <v>75.849999999999994</v>
      </c>
      <c r="J9" s="8">
        <v>129.06</v>
      </c>
      <c r="K9" s="97"/>
      <c r="L9" s="42">
        <v>1.37</v>
      </c>
      <c r="M9" s="50">
        <f t="shared" ref="M9:M12" si="0">((J9*0.749)-L9)*100/J9</f>
        <v>73.838478227181156</v>
      </c>
    </row>
    <row r="10" spans="1:13" x14ac:dyDescent="0.25">
      <c r="A10" s="56" t="s">
        <v>30</v>
      </c>
      <c r="B10" s="8">
        <v>3503.1</v>
      </c>
      <c r="C10" s="97"/>
      <c r="D10" s="43">
        <v>197.45</v>
      </c>
      <c r="E10" s="52">
        <f>((B10*0.7735)-D10)*100/B10</f>
        <v>71.713563700722219</v>
      </c>
      <c r="F10" s="8">
        <v>2174.5</v>
      </c>
      <c r="G10" s="97"/>
      <c r="H10" s="43">
        <v>87.19</v>
      </c>
      <c r="I10" s="52">
        <f t="shared" ref="I10:I12" si="1">((F10*0.7585)-H10)*100/F10</f>
        <v>71.84034260749597</v>
      </c>
      <c r="J10" s="8">
        <v>1917.5</v>
      </c>
      <c r="K10" s="97"/>
      <c r="L10" s="43">
        <v>103.18</v>
      </c>
      <c r="M10" s="50">
        <f t="shared" si="0"/>
        <v>69.519035202086044</v>
      </c>
    </row>
    <row r="11" spans="1:13" x14ac:dyDescent="0.25">
      <c r="A11" s="55" t="s">
        <v>31</v>
      </c>
      <c r="B11" s="8">
        <v>220.09200000000001</v>
      </c>
      <c r="C11" s="97"/>
      <c r="D11" s="42" t="s">
        <v>7</v>
      </c>
      <c r="E11" s="52">
        <v>77.349999999999994</v>
      </c>
      <c r="F11" s="8">
        <v>101.992</v>
      </c>
      <c r="G11" s="97"/>
      <c r="H11" s="42" t="s">
        <v>7</v>
      </c>
      <c r="I11" s="52">
        <v>75.849999999999994</v>
      </c>
      <c r="J11" s="8">
        <v>94.9</v>
      </c>
      <c r="K11" s="97"/>
      <c r="L11" s="42">
        <v>0.5</v>
      </c>
      <c r="M11" s="50">
        <f t="shared" si="0"/>
        <v>74.37312961011591</v>
      </c>
    </row>
    <row r="12" spans="1:13" ht="15.75" thickBot="1" x14ac:dyDescent="0.3">
      <c r="A12" s="57" t="s">
        <v>32</v>
      </c>
      <c r="B12" s="44">
        <v>1112</v>
      </c>
      <c r="C12" s="98"/>
      <c r="D12" s="45">
        <v>332</v>
      </c>
      <c r="E12" s="58">
        <f>((B12*0.7735)-D12)*100/B12</f>
        <v>47.493884892086328</v>
      </c>
      <c r="F12" s="44">
        <v>1082</v>
      </c>
      <c r="G12" s="98"/>
      <c r="H12" s="45">
        <v>99</v>
      </c>
      <c r="I12" s="58">
        <f t="shared" si="1"/>
        <v>66.700277264325322</v>
      </c>
      <c r="J12" s="44">
        <v>980</v>
      </c>
      <c r="K12" s="98"/>
      <c r="L12" s="45">
        <v>204</v>
      </c>
      <c r="M12" s="51">
        <f t="shared" si="0"/>
        <v>54.083673469387755</v>
      </c>
    </row>
    <row r="18" spans="1:13" ht="16.5" x14ac:dyDescent="0.25">
      <c r="A18" s="100" t="s">
        <v>34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</row>
    <row r="21" spans="1:13" x14ac:dyDescent="0.25">
      <c r="A21">
        <v>2009</v>
      </c>
    </row>
    <row r="22" spans="1:13" x14ac:dyDescent="0.25">
      <c r="A22" t="s">
        <v>24</v>
      </c>
      <c r="C22">
        <f>B8*0.7735</f>
        <v>680.8347</v>
      </c>
      <c r="D22" t="s">
        <v>25</v>
      </c>
      <c r="F22">
        <v>48.95</v>
      </c>
    </row>
    <row r="23" spans="1:13" x14ac:dyDescent="0.25">
      <c r="A23" t="s">
        <v>26</v>
      </c>
      <c r="C23">
        <f>C22-F22</f>
        <v>631.88469999999995</v>
      </c>
    </row>
    <row r="24" spans="1:13" x14ac:dyDescent="0.25">
      <c r="A24" t="s">
        <v>22</v>
      </c>
      <c r="C24">
        <f>C23*100/B8</f>
        <v>71.788763917291519</v>
      </c>
    </row>
    <row r="26" spans="1:13" x14ac:dyDescent="0.25">
      <c r="A26" t="s">
        <v>24</v>
      </c>
      <c r="C26">
        <f>B10*0.7735</f>
        <v>2709.6478499999998</v>
      </c>
      <c r="D26" t="s">
        <v>25</v>
      </c>
      <c r="F26">
        <v>197.45</v>
      </c>
    </row>
    <row r="27" spans="1:13" x14ac:dyDescent="0.25">
      <c r="A27" t="s">
        <v>26</v>
      </c>
      <c r="C27">
        <f>C26-F26</f>
        <v>2512.19785</v>
      </c>
    </row>
    <row r="28" spans="1:13" x14ac:dyDescent="0.25">
      <c r="A28" t="s">
        <v>22</v>
      </c>
      <c r="C28">
        <f>C27*100/B10</f>
        <v>71.713563700722219</v>
      </c>
    </row>
    <row r="31" spans="1:13" x14ac:dyDescent="0.25">
      <c r="A31" t="s">
        <v>24</v>
      </c>
      <c r="B31">
        <f>B12*0.7735</f>
        <v>860.13199999999995</v>
      </c>
      <c r="D31" t="s">
        <v>25</v>
      </c>
      <c r="F31">
        <v>332</v>
      </c>
      <c r="H31" t="s">
        <v>24</v>
      </c>
      <c r="I31">
        <v>860.13199999999995</v>
      </c>
      <c r="K31" t="s">
        <v>25</v>
      </c>
      <c r="M31">
        <v>189</v>
      </c>
    </row>
    <row r="32" spans="1:13" x14ac:dyDescent="0.25">
      <c r="A32" t="s">
        <v>26</v>
      </c>
      <c r="C32">
        <f>B31-F31</f>
        <v>528.13199999999995</v>
      </c>
      <c r="H32" t="s">
        <v>26</v>
      </c>
      <c r="J32">
        <f>I31-M31</f>
        <v>671.13199999999995</v>
      </c>
    </row>
    <row r="33" spans="1:10" x14ac:dyDescent="0.25">
      <c r="A33" t="s">
        <v>22</v>
      </c>
      <c r="C33">
        <f>C32*100/B12</f>
        <v>47.493884892086328</v>
      </c>
      <c r="H33" t="s">
        <v>22</v>
      </c>
      <c r="J33">
        <f>J32*100/B12</f>
        <v>60.353597122302155</v>
      </c>
    </row>
  </sheetData>
  <mergeCells count="11">
    <mergeCell ref="A4:M4"/>
    <mergeCell ref="K8:K12"/>
    <mergeCell ref="L1:M1"/>
    <mergeCell ref="A18:M18"/>
    <mergeCell ref="B6:E6"/>
    <mergeCell ref="F6:I6"/>
    <mergeCell ref="J6:M6"/>
    <mergeCell ref="C8:C12"/>
    <mergeCell ref="G8:G12"/>
    <mergeCell ref="A2:M2"/>
    <mergeCell ref="A3:M3"/>
  </mergeCells>
  <pageMargins left="0.70866141732283472" right="0.70866141732283472" top="0.35433070866141736" bottom="0.74803149606299213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X26"/>
  <sheetViews>
    <sheetView workbookViewId="0">
      <selection activeCell="H14" sqref="H14"/>
    </sheetView>
  </sheetViews>
  <sheetFormatPr defaultRowHeight="15" x14ac:dyDescent="0.25"/>
  <cols>
    <col min="1" max="1" width="17.42578125" customWidth="1"/>
    <col min="2" max="2" width="8.140625" customWidth="1"/>
    <col min="3" max="3" width="5.7109375" customWidth="1"/>
    <col min="4" max="4" width="6.28515625" customWidth="1"/>
    <col min="5" max="5" width="6.42578125" customWidth="1"/>
    <col min="6" max="6" width="8.140625" customWidth="1"/>
    <col min="7" max="7" width="8.28515625" customWidth="1"/>
    <col min="8" max="8" width="7.5703125" customWidth="1"/>
    <col min="9" max="9" width="9.140625" customWidth="1"/>
    <col min="10" max="10" width="15" customWidth="1"/>
    <col min="12" max="12" width="17.28515625" customWidth="1"/>
    <col min="13" max="13" width="11.7109375" customWidth="1"/>
    <col min="14" max="14" width="8.7109375" customWidth="1"/>
    <col min="15" max="15" width="11.42578125" customWidth="1"/>
    <col min="16" max="16" width="9" customWidth="1"/>
    <col min="19" max="19" width="10.42578125" customWidth="1"/>
    <col min="23" max="23" width="10.7109375" customWidth="1"/>
  </cols>
  <sheetData>
    <row r="2" spans="1:22" ht="18.75" x14ac:dyDescent="0.3">
      <c r="A2" s="85" t="s">
        <v>12</v>
      </c>
      <c r="B2" s="85"/>
      <c r="C2" s="85"/>
      <c r="D2" s="85"/>
      <c r="E2" s="85"/>
      <c r="F2" s="85"/>
      <c r="G2" s="85"/>
      <c r="H2" s="85"/>
      <c r="I2" s="85"/>
      <c r="J2" s="85"/>
      <c r="L2" s="85" t="s">
        <v>12</v>
      </c>
      <c r="M2" s="85"/>
      <c r="N2" s="85"/>
      <c r="O2" s="85"/>
      <c r="P2" s="85"/>
      <c r="Q2" s="85"/>
      <c r="R2" s="85"/>
      <c r="S2" s="85"/>
      <c r="T2" s="85"/>
      <c r="U2" s="85"/>
      <c r="V2" s="85"/>
    </row>
    <row r="3" spans="1:22" ht="18.75" x14ac:dyDescent="0.3">
      <c r="A3" s="85" t="s">
        <v>13</v>
      </c>
      <c r="B3" s="85"/>
      <c r="C3" s="85"/>
      <c r="D3" s="85"/>
      <c r="E3" s="85"/>
      <c r="F3" s="85"/>
      <c r="G3" s="85"/>
      <c r="H3" s="85"/>
      <c r="I3" s="85"/>
      <c r="J3" s="85"/>
      <c r="L3" s="85" t="s">
        <v>13</v>
      </c>
      <c r="M3" s="85"/>
      <c r="N3" s="85"/>
      <c r="O3" s="85"/>
      <c r="P3" s="85"/>
      <c r="Q3" s="85"/>
      <c r="R3" s="85"/>
      <c r="S3" s="85"/>
      <c r="T3" s="85"/>
      <c r="U3" s="85"/>
      <c r="V3" s="85"/>
    </row>
    <row r="4" spans="1:22" ht="18" customHeight="1" x14ac:dyDescent="0.3">
      <c r="A4" s="86" t="s">
        <v>15</v>
      </c>
      <c r="B4" s="86"/>
      <c r="C4" s="86"/>
      <c r="D4" s="86"/>
      <c r="E4" s="86"/>
      <c r="F4" s="86"/>
      <c r="G4" s="86"/>
      <c r="H4" s="86"/>
      <c r="I4" s="86"/>
      <c r="J4" s="86"/>
      <c r="L4" s="86" t="s">
        <v>15</v>
      </c>
      <c r="M4" s="86"/>
      <c r="N4" s="86"/>
      <c r="O4" s="86"/>
      <c r="P4" s="86"/>
      <c r="Q4" s="86"/>
      <c r="R4" s="86"/>
      <c r="S4" s="86"/>
      <c r="T4" s="86"/>
      <c r="U4" s="86"/>
      <c r="V4" s="86"/>
    </row>
    <row r="5" spans="1:22" ht="14.25" customHeight="1" x14ac:dyDescent="0.25">
      <c r="J5" s="1"/>
      <c r="K5" s="1"/>
      <c r="V5" s="1"/>
    </row>
    <row r="6" spans="1:22" ht="25.5" customHeight="1" x14ac:dyDescent="0.25">
      <c r="A6" s="104" t="s">
        <v>16</v>
      </c>
      <c r="B6" s="104"/>
      <c r="C6" s="104"/>
      <c r="D6" s="104"/>
      <c r="E6" s="104"/>
      <c r="F6" s="104"/>
      <c r="G6" s="104"/>
      <c r="H6" s="104"/>
      <c r="I6" s="104"/>
      <c r="J6" s="104"/>
      <c r="K6" s="1"/>
      <c r="L6" s="104" t="s">
        <v>16</v>
      </c>
      <c r="M6" s="104"/>
      <c r="N6" s="104"/>
      <c r="O6" s="104"/>
      <c r="P6" s="104"/>
      <c r="Q6" s="104"/>
      <c r="R6" s="104"/>
      <c r="S6" s="104"/>
      <c r="T6" s="104"/>
      <c r="U6" s="104"/>
      <c r="V6" s="104"/>
    </row>
    <row r="7" spans="1:22" ht="54.75" customHeight="1" x14ac:dyDescent="0.25">
      <c r="A7" s="114" t="s">
        <v>1</v>
      </c>
      <c r="B7" s="114" t="s">
        <v>8</v>
      </c>
      <c r="C7" s="116" t="s">
        <v>18</v>
      </c>
      <c r="D7" s="118"/>
      <c r="E7" s="117"/>
      <c r="F7" s="114" t="s">
        <v>9</v>
      </c>
      <c r="G7" s="116" t="s">
        <v>11</v>
      </c>
      <c r="H7" s="117"/>
      <c r="I7" s="114" t="s">
        <v>10</v>
      </c>
      <c r="J7" s="13" t="s">
        <v>11</v>
      </c>
      <c r="K7" s="1"/>
      <c r="L7" s="114" t="s">
        <v>1</v>
      </c>
      <c r="M7" s="114" t="s">
        <v>8</v>
      </c>
      <c r="N7" s="20"/>
      <c r="O7" s="116" t="s">
        <v>18</v>
      </c>
      <c r="P7" s="118"/>
      <c r="Q7" s="117"/>
      <c r="R7" s="114" t="s">
        <v>9</v>
      </c>
      <c r="S7" s="116" t="s">
        <v>11</v>
      </c>
      <c r="T7" s="117"/>
      <c r="U7" s="114" t="s">
        <v>10</v>
      </c>
      <c r="V7" s="13" t="s">
        <v>11</v>
      </c>
    </row>
    <row r="8" spans="1:22" ht="18" customHeight="1" x14ac:dyDescent="0.25">
      <c r="A8" s="115"/>
      <c r="B8" s="115"/>
      <c r="C8" s="9">
        <v>2009</v>
      </c>
      <c r="D8" s="9">
        <v>2010</v>
      </c>
      <c r="E8" s="9">
        <v>2011</v>
      </c>
      <c r="F8" s="115"/>
      <c r="G8" s="9">
        <v>2010</v>
      </c>
      <c r="H8" s="9">
        <v>2011</v>
      </c>
      <c r="I8" s="115"/>
      <c r="J8" s="9">
        <v>2011</v>
      </c>
      <c r="K8" s="1"/>
      <c r="L8" s="115"/>
      <c r="M8" s="115"/>
      <c r="N8" s="19"/>
      <c r="O8" s="9">
        <v>2009</v>
      </c>
      <c r="P8" s="9">
        <v>2010</v>
      </c>
      <c r="Q8" s="9">
        <v>2011</v>
      </c>
      <c r="R8" s="115"/>
      <c r="S8" s="9">
        <v>2010</v>
      </c>
      <c r="T8" s="9">
        <v>2011</v>
      </c>
      <c r="U8" s="115"/>
      <c r="V8" s="9">
        <v>2011</v>
      </c>
    </row>
    <row r="9" spans="1:22" ht="18" customHeight="1" x14ac:dyDescent="0.25">
      <c r="A9" s="16" t="s">
        <v>4</v>
      </c>
      <c r="B9" s="11">
        <v>48.95</v>
      </c>
      <c r="C9" s="11"/>
      <c r="D9" s="11"/>
      <c r="E9" s="11"/>
      <c r="F9" s="11">
        <v>43.58</v>
      </c>
      <c r="G9" s="11"/>
      <c r="H9" s="11"/>
      <c r="I9" s="11">
        <v>28.72</v>
      </c>
      <c r="J9" s="3"/>
      <c r="K9" s="1"/>
      <c r="L9" s="16" t="s">
        <v>4</v>
      </c>
      <c r="M9" s="11">
        <v>48.95</v>
      </c>
      <c r="N9" s="11"/>
      <c r="O9" s="11"/>
      <c r="P9" s="11"/>
      <c r="Q9" s="11"/>
      <c r="R9" s="11">
        <v>43.58</v>
      </c>
      <c r="S9" s="11"/>
      <c r="T9" s="11"/>
      <c r="U9" s="11">
        <v>28.72</v>
      </c>
      <c r="V9" s="3"/>
    </row>
    <row r="10" spans="1:22" ht="18" customHeight="1" x14ac:dyDescent="0.25">
      <c r="A10" s="16" t="s">
        <v>5</v>
      </c>
      <c r="B10" s="11" t="s">
        <v>7</v>
      </c>
      <c r="C10" s="11" t="s">
        <v>7</v>
      </c>
      <c r="D10" s="11" t="s">
        <v>7</v>
      </c>
      <c r="E10" s="11" t="s">
        <v>7</v>
      </c>
      <c r="F10" s="11" t="s">
        <v>7</v>
      </c>
      <c r="G10" s="11" t="s">
        <v>7</v>
      </c>
      <c r="H10" s="11" t="s">
        <v>7</v>
      </c>
      <c r="I10" s="11">
        <v>1.37</v>
      </c>
      <c r="J10" s="3"/>
      <c r="K10" s="1"/>
      <c r="L10" s="16" t="s">
        <v>5</v>
      </c>
      <c r="M10" s="11" t="s">
        <v>7</v>
      </c>
      <c r="N10" s="11"/>
      <c r="O10" s="11" t="s">
        <v>7</v>
      </c>
      <c r="P10" s="11" t="s">
        <v>7</v>
      </c>
      <c r="Q10" s="11" t="s">
        <v>7</v>
      </c>
      <c r="R10" s="11" t="s">
        <v>7</v>
      </c>
      <c r="S10" s="11" t="s">
        <v>7</v>
      </c>
      <c r="T10" s="11" t="s">
        <v>7</v>
      </c>
      <c r="U10" s="11">
        <v>1.37</v>
      </c>
      <c r="V10" s="3"/>
    </row>
    <row r="11" spans="1:22" ht="14.25" customHeight="1" x14ac:dyDescent="0.25">
      <c r="A11" s="14" t="s">
        <v>2</v>
      </c>
      <c r="B11" s="10">
        <v>197.45</v>
      </c>
      <c r="C11" s="6"/>
      <c r="D11" s="6"/>
      <c r="E11" s="6"/>
      <c r="F11" s="12">
        <v>87.19</v>
      </c>
      <c r="G11" s="6"/>
      <c r="H11" s="6"/>
      <c r="I11" s="12">
        <v>103.18</v>
      </c>
      <c r="J11" s="2"/>
      <c r="K11" s="1"/>
      <c r="L11" s="14" t="s">
        <v>2</v>
      </c>
      <c r="M11" s="10">
        <v>197.45</v>
      </c>
      <c r="N11" s="10"/>
      <c r="O11" s="6"/>
      <c r="P11" s="6"/>
      <c r="Q11" s="6"/>
      <c r="R11" s="12">
        <v>87.19</v>
      </c>
      <c r="S11" s="6"/>
      <c r="T11" s="6"/>
      <c r="U11" s="12">
        <v>103.18</v>
      </c>
      <c r="V11" s="2"/>
    </row>
    <row r="12" spans="1:22" x14ac:dyDescent="0.25">
      <c r="A12" s="15" t="s">
        <v>3</v>
      </c>
      <c r="B12" s="11" t="s">
        <v>7</v>
      </c>
      <c r="C12" s="11" t="s">
        <v>7</v>
      </c>
      <c r="D12" s="11" t="s">
        <v>7</v>
      </c>
      <c r="E12" s="11" t="s">
        <v>7</v>
      </c>
      <c r="F12" s="11" t="s">
        <v>7</v>
      </c>
      <c r="G12" s="11" t="s">
        <v>7</v>
      </c>
      <c r="H12" s="11" t="s">
        <v>7</v>
      </c>
      <c r="I12" s="11">
        <v>0.5</v>
      </c>
      <c r="J12" s="3"/>
      <c r="L12" s="15" t="s">
        <v>3</v>
      </c>
      <c r="M12" s="11" t="s">
        <v>7</v>
      </c>
      <c r="N12" s="11"/>
      <c r="O12" s="11" t="s">
        <v>7</v>
      </c>
      <c r="P12" s="11" t="s">
        <v>7</v>
      </c>
      <c r="Q12" s="11" t="s">
        <v>7</v>
      </c>
      <c r="R12" s="11" t="s">
        <v>7</v>
      </c>
      <c r="S12" s="11" t="s">
        <v>7</v>
      </c>
      <c r="T12" s="11" t="s">
        <v>7</v>
      </c>
      <c r="U12" s="11">
        <v>0.5</v>
      </c>
      <c r="V12" s="3"/>
    </row>
    <row r="13" spans="1:22" x14ac:dyDescent="0.25">
      <c r="A13" s="16" t="s">
        <v>6</v>
      </c>
      <c r="B13" s="11">
        <v>332</v>
      </c>
      <c r="C13" s="7"/>
      <c r="D13" s="7"/>
      <c r="E13" s="7"/>
      <c r="F13" s="11">
        <v>99</v>
      </c>
      <c r="G13" s="7"/>
      <c r="H13" s="7"/>
      <c r="I13" s="11">
        <v>204</v>
      </c>
      <c r="J13" s="3"/>
      <c r="L13" s="16" t="s">
        <v>6</v>
      </c>
      <c r="M13" s="11">
        <v>332</v>
      </c>
      <c r="N13" s="11"/>
      <c r="O13" s="7"/>
      <c r="P13" s="7"/>
      <c r="Q13" s="7"/>
      <c r="R13" s="11">
        <v>99</v>
      </c>
      <c r="S13" s="7"/>
      <c r="T13" s="7"/>
      <c r="U13" s="11">
        <v>204</v>
      </c>
      <c r="V13" s="3"/>
    </row>
    <row r="14" spans="1:22" x14ac:dyDescent="0.25">
      <c r="A14" s="17"/>
      <c r="B14" s="18"/>
      <c r="C14" s="4"/>
      <c r="D14" s="4"/>
      <c r="E14" s="4"/>
      <c r="F14" s="18"/>
      <c r="G14" s="4"/>
      <c r="H14" s="4"/>
      <c r="I14" s="18"/>
      <c r="L14" s="17"/>
      <c r="M14" s="18"/>
      <c r="N14" s="18"/>
      <c r="O14" s="4"/>
      <c r="P14" s="4"/>
      <c r="Q14" s="4"/>
      <c r="R14" s="18"/>
      <c r="S14" s="4"/>
      <c r="T14" s="4"/>
      <c r="U14" s="18"/>
    </row>
    <row r="15" spans="1:22" ht="21.75" customHeight="1" x14ac:dyDescent="0.25">
      <c r="A15" s="104" t="s">
        <v>17</v>
      </c>
      <c r="B15" s="104"/>
      <c r="C15" s="104"/>
      <c r="D15" s="104"/>
      <c r="E15" s="104"/>
      <c r="F15" s="104"/>
      <c r="G15" s="104"/>
      <c r="H15" s="104"/>
      <c r="I15" s="104"/>
      <c r="J15" s="104"/>
      <c r="L15" s="104" t="s">
        <v>17</v>
      </c>
      <c r="M15" s="104"/>
      <c r="N15" s="104"/>
      <c r="O15" s="104"/>
      <c r="P15" s="104"/>
      <c r="Q15" s="104"/>
      <c r="R15" s="104"/>
      <c r="S15" s="104"/>
      <c r="T15" s="104"/>
      <c r="U15" s="104"/>
      <c r="V15" s="104"/>
    </row>
    <row r="16" spans="1:22" x14ac:dyDescent="0.25">
      <c r="A16" s="5" t="s">
        <v>0</v>
      </c>
      <c r="B16" s="108">
        <v>2009</v>
      </c>
      <c r="C16" s="109"/>
      <c r="D16" s="109"/>
      <c r="E16" s="110"/>
      <c r="F16" s="108">
        <v>2010</v>
      </c>
      <c r="G16" s="109"/>
      <c r="H16" s="110"/>
      <c r="I16" s="108">
        <v>2011</v>
      </c>
      <c r="J16" s="110"/>
      <c r="L16" s="5" t="s">
        <v>0</v>
      </c>
      <c r="M16" s="108">
        <v>2009</v>
      </c>
      <c r="N16" s="109"/>
      <c r="O16" s="109"/>
      <c r="P16" s="109"/>
      <c r="Q16" s="110"/>
      <c r="R16" s="108">
        <v>2010</v>
      </c>
      <c r="S16" s="109"/>
      <c r="T16" s="110"/>
      <c r="U16" s="108">
        <v>2011</v>
      </c>
      <c r="V16" s="110"/>
    </row>
    <row r="17" spans="1:24" ht="29.25" x14ac:dyDescent="0.25">
      <c r="A17" s="5" t="s">
        <v>14</v>
      </c>
      <c r="B17" s="111">
        <v>77.349999999999994</v>
      </c>
      <c r="C17" s="112"/>
      <c r="D17" s="112"/>
      <c r="E17" s="113"/>
      <c r="F17" s="111">
        <v>75.849999999999994</v>
      </c>
      <c r="G17" s="112"/>
      <c r="H17" s="113"/>
      <c r="I17" s="111">
        <v>74.900000000000006</v>
      </c>
      <c r="J17" s="113"/>
      <c r="L17" s="5" t="s">
        <v>14</v>
      </c>
      <c r="M17" s="111">
        <v>77.349999999999994</v>
      </c>
      <c r="N17" s="112"/>
      <c r="O17" s="112"/>
      <c r="P17" s="112"/>
      <c r="Q17" s="113"/>
      <c r="R17" s="111">
        <v>75.849999999999994</v>
      </c>
      <c r="S17" s="112"/>
      <c r="T17" s="113"/>
      <c r="U17" s="111">
        <v>74.900000000000006</v>
      </c>
      <c r="V17" s="113"/>
    </row>
    <row r="18" spans="1:24" x14ac:dyDescent="0.25">
      <c r="A18" s="4"/>
      <c r="B18" s="4"/>
      <c r="C18" s="4"/>
      <c r="D18" s="4"/>
      <c r="E18" s="4"/>
      <c r="F18" s="4"/>
      <c r="G18" s="4"/>
      <c r="H18" s="4"/>
      <c r="I18" s="4"/>
    </row>
    <row r="19" spans="1:24" ht="15.75" thickBot="1" x14ac:dyDescent="0.3">
      <c r="A19" s="4"/>
      <c r="B19" s="4"/>
      <c r="C19" s="4"/>
      <c r="D19" s="4"/>
      <c r="E19" s="4"/>
      <c r="F19" s="4"/>
      <c r="G19" s="4"/>
      <c r="H19" s="4"/>
      <c r="I19" s="4"/>
    </row>
    <row r="20" spans="1:24" ht="15.75" thickBot="1" x14ac:dyDescent="0.3">
      <c r="A20" s="4"/>
      <c r="B20" s="4"/>
      <c r="C20" s="4"/>
      <c r="D20" s="4"/>
      <c r="E20" s="4"/>
      <c r="F20" s="4"/>
      <c r="G20" s="4"/>
      <c r="H20" s="4"/>
      <c r="I20" s="4"/>
      <c r="L20" s="28"/>
      <c r="M20" s="105">
        <v>2009</v>
      </c>
      <c r="N20" s="106"/>
      <c r="O20" s="106"/>
      <c r="P20" s="107"/>
      <c r="Q20" s="105">
        <v>2010</v>
      </c>
      <c r="R20" s="106"/>
      <c r="S20" s="106"/>
      <c r="T20" s="107"/>
      <c r="U20" s="105">
        <v>2011</v>
      </c>
      <c r="V20" s="106"/>
      <c r="W20" s="106"/>
      <c r="X20" s="107"/>
    </row>
    <row r="21" spans="1:24" ht="43.5" customHeight="1" thickBot="1" x14ac:dyDescent="0.3">
      <c r="A21" s="4"/>
      <c r="B21" s="4"/>
      <c r="C21" s="4"/>
      <c r="D21" s="4"/>
      <c r="E21" s="4"/>
      <c r="F21" s="4"/>
      <c r="G21" s="4"/>
      <c r="H21" s="4"/>
      <c r="I21" s="4"/>
      <c r="L21" s="30" t="s">
        <v>19</v>
      </c>
      <c r="M21" s="31" t="s">
        <v>20</v>
      </c>
      <c r="N21" s="32" t="s">
        <v>22</v>
      </c>
      <c r="O21" s="32" t="s">
        <v>21</v>
      </c>
      <c r="P21" s="33" t="s">
        <v>23</v>
      </c>
      <c r="Q21" s="31" t="s">
        <v>20</v>
      </c>
      <c r="R21" s="32" t="s">
        <v>22</v>
      </c>
      <c r="S21" s="32" t="s">
        <v>21</v>
      </c>
      <c r="T21" s="33" t="s">
        <v>23</v>
      </c>
      <c r="U21" s="31" t="s">
        <v>20</v>
      </c>
      <c r="V21" s="32" t="s">
        <v>22</v>
      </c>
      <c r="W21" s="32" t="s">
        <v>21</v>
      </c>
      <c r="X21" s="33" t="s">
        <v>23</v>
      </c>
    </row>
    <row r="22" spans="1:24" x14ac:dyDescent="0.25">
      <c r="L22" s="34" t="s">
        <v>4</v>
      </c>
      <c r="M22" s="35"/>
      <c r="N22" s="36"/>
      <c r="O22" s="37">
        <v>48.95</v>
      </c>
      <c r="P22" s="38"/>
      <c r="Q22" s="35"/>
      <c r="R22" s="36"/>
      <c r="S22" s="37">
        <v>43.58</v>
      </c>
      <c r="T22" s="38"/>
      <c r="U22" s="35"/>
      <c r="V22" s="36"/>
      <c r="W22" s="37">
        <v>28.72</v>
      </c>
      <c r="X22" s="38"/>
    </row>
    <row r="23" spans="1:24" x14ac:dyDescent="0.25">
      <c r="L23" s="21" t="s">
        <v>5</v>
      </c>
      <c r="M23" s="23"/>
      <c r="N23" s="2"/>
      <c r="O23" s="11" t="s">
        <v>7</v>
      </c>
      <c r="P23" s="24"/>
      <c r="Q23" s="23"/>
      <c r="R23" s="2"/>
      <c r="S23" s="11" t="s">
        <v>7</v>
      </c>
      <c r="T23" s="24"/>
      <c r="U23" s="23"/>
      <c r="V23" s="2"/>
      <c r="W23" s="11">
        <v>1.37</v>
      </c>
      <c r="X23" s="24"/>
    </row>
    <row r="24" spans="1:24" x14ac:dyDescent="0.25">
      <c r="L24" s="22" t="s">
        <v>2</v>
      </c>
      <c r="M24" s="23"/>
      <c r="N24" s="2"/>
      <c r="O24" s="10">
        <v>197.45</v>
      </c>
      <c r="P24" s="24"/>
      <c r="Q24" s="23"/>
      <c r="R24" s="2"/>
      <c r="S24" s="12">
        <v>87.19</v>
      </c>
      <c r="T24" s="24"/>
      <c r="U24" s="23"/>
      <c r="V24" s="2"/>
      <c r="W24" s="12">
        <v>103.18</v>
      </c>
      <c r="X24" s="24"/>
    </row>
    <row r="25" spans="1:24" x14ac:dyDescent="0.25">
      <c r="L25" s="21" t="s">
        <v>3</v>
      </c>
      <c r="M25" s="23"/>
      <c r="N25" s="2"/>
      <c r="O25" s="11" t="s">
        <v>7</v>
      </c>
      <c r="P25" s="24"/>
      <c r="Q25" s="23"/>
      <c r="R25" s="2"/>
      <c r="S25" s="11" t="s">
        <v>7</v>
      </c>
      <c r="T25" s="24"/>
      <c r="U25" s="23"/>
      <c r="V25" s="2"/>
      <c r="W25" s="11">
        <v>0.5</v>
      </c>
      <c r="X25" s="24"/>
    </row>
    <row r="26" spans="1:24" ht="15.75" thickBot="1" x14ac:dyDescent="0.3">
      <c r="L26" s="29" t="s">
        <v>6</v>
      </c>
      <c r="M26" s="25"/>
      <c r="N26" s="26"/>
      <c r="O26" s="39">
        <v>332</v>
      </c>
      <c r="P26" s="27"/>
      <c r="Q26" s="25"/>
      <c r="R26" s="26"/>
      <c r="S26" s="39">
        <v>99</v>
      </c>
      <c r="T26" s="27"/>
      <c r="U26" s="25"/>
      <c r="V26" s="26"/>
      <c r="W26" s="39">
        <v>204</v>
      </c>
      <c r="X26" s="27"/>
    </row>
  </sheetData>
  <mergeCells count="37">
    <mergeCell ref="F16:H16"/>
    <mergeCell ref="F17:H17"/>
    <mergeCell ref="I16:J16"/>
    <mergeCell ref="I17:J17"/>
    <mergeCell ref="C7:E7"/>
    <mergeCell ref="B16:E16"/>
    <mergeCell ref="B17:E17"/>
    <mergeCell ref="B7:B8"/>
    <mergeCell ref="L2:V2"/>
    <mergeCell ref="L3:V3"/>
    <mergeCell ref="L4:V4"/>
    <mergeCell ref="L6:V6"/>
    <mergeCell ref="L7:L8"/>
    <mergeCell ref="M7:M8"/>
    <mergeCell ref="O7:Q7"/>
    <mergeCell ref="R7:R8"/>
    <mergeCell ref="S7:T7"/>
    <mergeCell ref="U7:U8"/>
    <mergeCell ref="A2:J2"/>
    <mergeCell ref="A4:J4"/>
    <mergeCell ref="A3:J3"/>
    <mergeCell ref="A6:J6"/>
    <mergeCell ref="A15:J15"/>
    <mergeCell ref="F7:F8"/>
    <mergeCell ref="G7:H7"/>
    <mergeCell ref="I7:I8"/>
    <mergeCell ref="A7:A8"/>
    <mergeCell ref="L15:V15"/>
    <mergeCell ref="M20:P20"/>
    <mergeCell ref="Q20:T20"/>
    <mergeCell ref="U20:X20"/>
    <mergeCell ref="M16:Q16"/>
    <mergeCell ref="R16:T16"/>
    <mergeCell ref="U16:V16"/>
    <mergeCell ref="M17:Q17"/>
    <mergeCell ref="R17:T17"/>
    <mergeCell ref="U17:V17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E22"/>
  <sheetViews>
    <sheetView workbookViewId="0">
      <selection activeCell="H14" sqref="H14"/>
    </sheetView>
  </sheetViews>
  <sheetFormatPr defaultRowHeight="15" x14ac:dyDescent="0.25"/>
  <cols>
    <col min="1" max="1" width="17.140625" customWidth="1"/>
    <col min="2" max="2" width="15.140625" customWidth="1"/>
    <col min="3" max="3" width="13.28515625" customWidth="1"/>
    <col min="4" max="4" width="13.5703125" customWidth="1"/>
    <col min="5" max="5" width="10.28515625" customWidth="1"/>
  </cols>
  <sheetData>
    <row r="2" spans="1:5" ht="18.75" x14ac:dyDescent="0.3">
      <c r="A2" s="85" t="s">
        <v>12</v>
      </c>
      <c r="B2" s="85"/>
      <c r="C2" s="85"/>
      <c r="D2" s="85"/>
      <c r="E2" s="85"/>
    </row>
    <row r="3" spans="1:5" ht="18.75" x14ac:dyDescent="0.3">
      <c r="A3" s="85" t="s">
        <v>13</v>
      </c>
      <c r="B3" s="85"/>
      <c r="C3" s="85"/>
      <c r="D3" s="85"/>
      <c r="E3" s="85"/>
    </row>
    <row r="4" spans="1:5" ht="18.75" customHeight="1" x14ac:dyDescent="0.3">
      <c r="A4" s="86" t="s">
        <v>41</v>
      </c>
      <c r="B4" s="86"/>
      <c r="C4" s="86"/>
      <c r="D4" s="86"/>
      <c r="E4" s="86"/>
    </row>
    <row r="6" spans="1:5" ht="15" customHeight="1" x14ac:dyDescent="0.25">
      <c r="A6" s="89" t="s">
        <v>19</v>
      </c>
      <c r="B6" s="89" t="s">
        <v>44</v>
      </c>
      <c r="C6" s="89" t="s">
        <v>42</v>
      </c>
      <c r="D6" s="89" t="s">
        <v>37</v>
      </c>
      <c r="E6" s="89" t="s">
        <v>38</v>
      </c>
    </row>
    <row r="7" spans="1:5" ht="57.75" customHeight="1" x14ac:dyDescent="0.25">
      <c r="A7" s="90"/>
      <c r="B7" s="90"/>
      <c r="C7" s="90"/>
      <c r="D7" s="90"/>
      <c r="E7" s="90"/>
    </row>
    <row r="8" spans="1:5" ht="13.5" customHeight="1" x14ac:dyDescent="0.25">
      <c r="A8" s="62"/>
      <c r="B8" s="69">
        <v>1</v>
      </c>
      <c r="C8" s="69">
        <v>4</v>
      </c>
      <c r="D8" s="69">
        <v>5</v>
      </c>
      <c r="E8" s="69">
        <v>6</v>
      </c>
    </row>
    <row r="9" spans="1:5" x14ac:dyDescent="0.25">
      <c r="A9" s="63" t="s">
        <v>28</v>
      </c>
      <c r="B9" s="43">
        <v>794.82</v>
      </c>
      <c r="C9" s="68">
        <v>500.38984000000005</v>
      </c>
      <c r="D9" s="68">
        <v>62.956372512015299</v>
      </c>
      <c r="E9" s="88">
        <v>71.264891038345155</v>
      </c>
    </row>
    <row r="10" spans="1:5" x14ac:dyDescent="0.25">
      <c r="A10" s="63" t="s">
        <v>30</v>
      </c>
      <c r="B10" s="43">
        <v>2394.17</v>
      </c>
      <c r="C10" s="68">
        <v>1528.2375399999999</v>
      </c>
      <c r="D10" s="68">
        <v>63.831621814658099</v>
      </c>
      <c r="E10" s="88"/>
    </row>
    <row r="11" spans="1:5" x14ac:dyDescent="0.25">
      <c r="A11" s="63" t="s">
        <v>29</v>
      </c>
      <c r="B11" s="43">
        <v>99.99</v>
      </c>
      <c r="C11" s="68">
        <v>77.911379999999994</v>
      </c>
      <c r="D11" s="68">
        <v>77.919171917191719</v>
      </c>
      <c r="E11" s="88"/>
    </row>
    <row r="12" spans="1:5" x14ac:dyDescent="0.25">
      <c r="A12" s="63" t="s">
        <v>31</v>
      </c>
      <c r="B12" s="43">
        <v>150.11000000000001</v>
      </c>
      <c r="C12" s="68">
        <v>128.94482000000002</v>
      </c>
      <c r="D12" s="68">
        <v>85.900219838784892</v>
      </c>
      <c r="E12" s="88"/>
    </row>
    <row r="13" spans="1:5" ht="36" customHeight="1" x14ac:dyDescent="0.25">
      <c r="A13" s="63" t="s">
        <v>36</v>
      </c>
      <c r="B13" s="43">
        <v>1201</v>
      </c>
      <c r="C13" s="65">
        <v>789.26199999999994</v>
      </c>
      <c r="D13" s="66">
        <v>65.717069109075766</v>
      </c>
      <c r="E13" s="88"/>
    </row>
    <row r="15" spans="1:5" ht="14.25" customHeight="1" x14ac:dyDescent="0.25">
      <c r="A15" s="67" t="s">
        <v>35</v>
      </c>
      <c r="B15" s="60"/>
      <c r="C15" s="60"/>
      <c r="D15" s="60"/>
      <c r="E15" s="60"/>
    </row>
    <row r="16" spans="1:5" ht="14.25" customHeight="1" x14ac:dyDescent="0.25">
      <c r="A16" s="60"/>
      <c r="B16" s="60"/>
      <c r="C16" s="60"/>
      <c r="D16" s="60"/>
      <c r="E16" s="60"/>
    </row>
    <row r="17" spans="1:5" ht="16.5" x14ac:dyDescent="0.25">
      <c r="A17" s="87" t="s">
        <v>40</v>
      </c>
      <c r="B17" s="87"/>
      <c r="C17" s="87"/>
      <c r="D17" s="87"/>
      <c r="E17" s="87"/>
    </row>
    <row r="20" spans="1:5" x14ac:dyDescent="0.25">
      <c r="A20" s="71" t="s">
        <v>46</v>
      </c>
      <c r="B20" s="71" t="s">
        <v>47</v>
      </c>
    </row>
    <row r="21" spans="1:5" x14ac:dyDescent="0.25">
      <c r="A21" s="71"/>
      <c r="B21" s="71"/>
    </row>
    <row r="22" spans="1:5" x14ac:dyDescent="0.25">
      <c r="A22" s="71" t="s">
        <v>49</v>
      </c>
      <c r="B22" s="71" t="s">
        <v>50</v>
      </c>
    </row>
  </sheetData>
  <mergeCells count="10">
    <mergeCell ref="E9:E13"/>
    <mergeCell ref="A17:E17"/>
    <mergeCell ref="A2:E2"/>
    <mergeCell ref="A3:E3"/>
    <mergeCell ref="A4:E4"/>
    <mergeCell ref="A6:A7"/>
    <mergeCell ref="B6:B7"/>
    <mergeCell ref="C6:C7"/>
    <mergeCell ref="D6:D7"/>
    <mergeCell ref="E6:E7"/>
  </mergeCells>
  <pageMargins left="0.70866141732283472" right="0.70866141732283472" top="0.35433070866141736" bottom="0.74803149606299213" header="0" footer="0"/>
  <pageSetup paperSize="9" scale="9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24"/>
  <sheetViews>
    <sheetView zoomScaleNormal="100" workbookViewId="0">
      <selection activeCell="K32" sqref="K32"/>
    </sheetView>
  </sheetViews>
  <sheetFormatPr defaultRowHeight="15" x14ac:dyDescent="0.25"/>
  <cols>
    <col min="1" max="1" width="17.140625" customWidth="1"/>
    <col min="2" max="2" width="15.140625" customWidth="1"/>
    <col min="3" max="3" width="15.140625" hidden="1" customWidth="1"/>
    <col min="4" max="4" width="14.7109375" customWidth="1"/>
    <col min="5" max="5" width="10.42578125" customWidth="1"/>
    <col min="6" max="6" width="13.28515625" customWidth="1"/>
    <col min="7" max="7" width="13.5703125" customWidth="1"/>
    <col min="8" max="8" width="10.28515625" customWidth="1"/>
    <col min="9" max="9" width="5.5703125" customWidth="1"/>
    <col min="10" max="10" width="7.42578125" customWidth="1"/>
    <col min="11" max="12" width="5.7109375" customWidth="1"/>
    <col min="13" max="13" width="6.140625" customWidth="1"/>
    <col min="14" max="14" width="6.7109375" customWidth="1"/>
    <col min="15" max="16" width="7.28515625" customWidth="1"/>
  </cols>
  <sheetData>
    <row r="2" spans="1:16" ht="18.75" x14ac:dyDescent="0.3">
      <c r="A2" s="85" t="s">
        <v>12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16" ht="18.75" x14ac:dyDescent="0.3">
      <c r="A3" s="85" t="s">
        <v>13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16" ht="18.75" customHeight="1" x14ac:dyDescent="0.3">
      <c r="A4" s="86" t="s">
        <v>52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</row>
    <row r="6" spans="1:16" ht="15" customHeight="1" x14ac:dyDescent="0.25">
      <c r="A6" s="89" t="s">
        <v>19</v>
      </c>
      <c r="B6" s="89" t="s">
        <v>44</v>
      </c>
      <c r="C6" s="89" t="s">
        <v>55</v>
      </c>
      <c r="D6" s="89" t="s">
        <v>56</v>
      </c>
      <c r="E6" s="89" t="s">
        <v>57</v>
      </c>
      <c r="F6" s="89" t="s">
        <v>51</v>
      </c>
      <c r="G6" s="89" t="s">
        <v>37</v>
      </c>
      <c r="H6" s="89" t="s">
        <v>38</v>
      </c>
      <c r="I6" s="91" t="s">
        <v>45</v>
      </c>
      <c r="J6" s="91"/>
      <c r="K6" s="91"/>
      <c r="L6" s="91"/>
      <c r="M6" s="91"/>
      <c r="N6" s="91"/>
      <c r="O6" s="91"/>
      <c r="P6" s="91"/>
    </row>
    <row r="7" spans="1:16" ht="57.75" customHeight="1" x14ac:dyDescent="0.25">
      <c r="A7" s="90"/>
      <c r="B7" s="90"/>
      <c r="C7" s="90"/>
      <c r="D7" s="90"/>
      <c r="E7" s="90"/>
      <c r="F7" s="90"/>
      <c r="G7" s="90"/>
      <c r="H7" s="90"/>
      <c r="I7" s="73">
        <v>2009</v>
      </c>
      <c r="J7" s="73">
        <v>2010</v>
      </c>
      <c r="K7" s="73">
        <v>2011</v>
      </c>
      <c r="L7" s="73">
        <v>2012</v>
      </c>
      <c r="M7" s="73">
        <v>2013</v>
      </c>
      <c r="N7" s="73">
        <v>2014</v>
      </c>
      <c r="O7" s="73">
        <v>2015</v>
      </c>
      <c r="P7" s="73">
        <v>2016</v>
      </c>
    </row>
    <row r="8" spans="1:16" ht="13.5" customHeight="1" x14ac:dyDescent="0.25">
      <c r="A8" s="62"/>
      <c r="B8" s="69">
        <v>1</v>
      </c>
      <c r="C8" s="69"/>
      <c r="D8" s="69">
        <v>2</v>
      </c>
      <c r="E8" s="69">
        <v>3</v>
      </c>
      <c r="F8" s="69">
        <v>4</v>
      </c>
      <c r="G8" s="69">
        <v>5</v>
      </c>
      <c r="H8" s="69">
        <v>6</v>
      </c>
      <c r="I8" s="73">
        <v>7</v>
      </c>
      <c r="J8" s="73">
        <v>8</v>
      </c>
      <c r="K8" s="61">
        <v>9</v>
      </c>
      <c r="L8" s="61">
        <v>10</v>
      </c>
      <c r="M8" s="61">
        <v>11</v>
      </c>
      <c r="N8" s="61">
        <v>12</v>
      </c>
      <c r="O8" s="61">
        <v>13</v>
      </c>
      <c r="P8" s="61">
        <v>14</v>
      </c>
    </row>
    <row r="9" spans="1:16" x14ac:dyDescent="0.25">
      <c r="A9" s="63" t="s">
        <v>28</v>
      </c>
      <c r="B9" s="43">
        <v>759</v>
      </c>
      <c r="C9" s="43">
        <f>794.82-B9</f>
        <v>35.82000000000005</v>
      </c>
      <c r="D9" s="65">
        <f>500.38984-C9</f>
        <v>464.56983999999994</v>
      </c>
      <c r="E9" s="68">
        <v>21.477999999999998</v>
      </c>
      <c r="F9" s="68">
        <f>D9-E9</f>
        <v>443.09183999999993</v>
      </c>
      <c r="G9" s="68">
        <f>F9/B9*100</f>
        <v>58.37837154150197</v>
      </c>
      <c r="H9" s="88">
        <f>(G9+G10+G11+G12+G13)/5</f>
        <v>57.098126177837173</v>
      </c>
      <c r="I9" s="42">
        <v>48.95</v>
      </c>
      <c r="J9" s="42">
        <v>6.1</v>
      </c>
      <c r="K9" s="42">
        <v>56.95</v>
      </c>
      <c r="L9" s="42">
        <v>22.26</v>
      </c>
      <c r="M9" s="42">
        <v>17.170000000000002</v>
      </c>
      <c r="N9" s="42">
        <v>15.085000000000001</v>
      </c>
      <c r="O9" s="42">
        <v>18.23</v>
      </c>
      <c r="P9" s="42">
        <f>21.098+0.38</f>
        <v>21.477999999999998</v>
      </c>
    </row>
    <row r="10" spans="1:16" x14ac:dyDescent="0.25">
      <c r="A10" s="63" t="s">
        <v>30</v>
      </c>
      <c r="B10" s="43">
        <v>2263.21</v>
      </c>
      <c r="C10" s="43">
        <f>2394.17-B10</f>
        <v>130.96000000000004</v>
      </c>
      <c r="D10" s="65">
        <f>1528.23754-C10</f>
        <v>1397.27754</v>
      </c>
      <c r="E10" s="68">
        <v>32.884999999999998</v>
      </c>
      <c r="F10" s="68">
        <f t="shared" ref="F10:F12" si="0">D10-E10</f>
        <v>1364.3925400000001</v>
      </c>
      <c r="G10" s="68">
        <f t="shared" ref="G10:G11" si="1">F10/B10*100</f>
        <v>60.285724258906605</v>
      </c>
      <c r="H10" s="88"/>
      <c r="I10" s="43">
        <v>197.45</v>
      </c>
      <c r="J10" s="43">
        <v>29.7</v>
      </c>
      <c r="K10" s="42">
        <v>100.94</v>
      </c>
      <c r="L10" s="42">
        <v>43.03</v>
      </c>
      <c r="M10" s="42">
        <v>64.739999999999995</v>
      </c>
      <c r="N10" s="42">
        <v>55.587000000000003</v>
      </c>
      <c r="O10" s="42">
        <v>44.09</v>
      </c>
      <c r="P10" s="42">
        <f>28.854+4.031</f>
        <v>32.884999999999998</v>
      </c>
    </row>
    <row r="11" spans="1:16" x14ac:dyDescent="0.25">
      <c r="A11" s="63" t="s">
        <v>29</v>
      </c>
      <c r="B11" s="43">
        <v>35.43</v>
      </c>
      <c r="C11" s="43">
        <f>99.99-B11</f>
        <v>64.56</v>
      </c>
      <c r="D11" s="65">
        <f>77.91138-C11</f>
        <v>13.351379999999992</v>
      </c>
      <c r="E11" s="68">
        <v>0.155</v>
      </c>
      <c r="F11" s="68">
        <f>D11-E11</f>
        <v>13.196379999999992</v>
      </c>
      <c r="G11" s="68">
        <f t="shared" si="1"/>
        <v>37.246344905447337</v>
      </c>
      <c r="H11" s="88"/>
      <c r="I11" s="42"/>
      <c r="J11" s="42">
        <v>0.4</v>
      </c>
      <c r="K11" s="42">
        <v>1.87</v>
      </c>
      <c r="L11" s="42">
        <v>2.0499999999999998</v>
      </c>
      <c r="M11" s="42">
        <v>2.56</v>
      </c>
      <c r="N11" s="42">
        <v>1.0900000000000001</v>
      </c>
      <c r="O11" s="42">
        <v>0.31</v>
      </c>
      <c r="P11" s="42">
        <v>0.155</v>
      </c>
    </row>
    <row r="12" spans="1:16" x14ac:dyDescent="0.25">
      <c r="A12" s="63" t="s">
        <v>31</v>
      </c>
      <c r="B12" s="43">
        <v>67.459999999999994</v>
      </c>
      <c r="C12" s="43">
        <f>150.11-B12</f>
        <v>82.65000000000002</v>
      </c>
      <c r="D12" s="65">
        <f>128.94482-C12</f>
        <v>46.294819999999973</v>
      </c>
      <c r="E12" s="68"/>
      <c r="F12" s="68">
        <f t="shared" si="0"/>
        <v>46.294819999999973</v>
      </c>
      <c r="G12" s="68">
        <f>F12/B12*100</f>
        <v>68.625585532167179</v>
      </c>
      <c r="H12" s="88"/>
      <c r="I12" s="42"/>
      <c r="J12" s="42">
        <v>0.2</v>
      </c>
      <c r="K12" s="42"/>
      <c r="L12" s="42">
        <v>0.25</v>
      </c>
      <c r="M12" s="42"/>
      <c r="N12" s="42"/>
      <c r="O12" s="42"/>
      <c r="P12" s="42"/>
    </row>
    <row r="13" spans="1:16" ht="36" customHeight="1" x14ac:dyDescent="0.25">
      <c r="A13" s="63" t="s">
        <v>36</v>
      </c>
      <c r="B13" s="43">
        <v>1075</v>
      </c>
      <c r="C13" s="43">
        <f>1201-B13</f>
        <v>126</v>
      </c>
      <c r="D13" s="66">
        <f>789.262-C13</f>
        <v>663.26199999999994</v>
      </c>
      <c r="E13" s="68">
        <v>8</v>
      </c>
      <c r="F13" s="65">
        <f>D13-E13</f>
        <v>655.26199999999994</v>
      </c>
      <c r="G13" s="66">
        <f>F13/B13*100</f>
        <v>60.954604651162782</v>
      </c>
      <c r="H13" s="88"/>
      <c r="I13" s="42">
        <v>35</v>
      </c>
      <c r="J13" s="42">
        <v>39</v>
      </c>
      <c r="K13" s="42">
        <v>119</v>
      </c>
      <c r="L13" s="42">
        <v>5</v>
      </c>
      <c r="M13" s="42">
        <v>27</v>
      </c>
      <c r="N13" s="42">
        <v>14</v>
      </c>
      <c r="O13" s="42">
        <v>7</v>
      </c>
      <c r="P13" s="42">
        <v>8</v>
      </c>
    </row>
    <row r="14" spans="1:16" x14ac:dyDescent="0.25">
      <c r="A14" s="74" t="s">
        <v>53</v>
      </c>
      <c r="B14" s="64"/>
      <c r="C14" s="75"/>
      <c r="D14" s="76"/>
      <c r="E14" s="77"/>
      <c r="F14" s="77"/>
      <c r="G14" s="77">
        <f>SUM(G9,G11,G13)/3</f>
        <v>52.193107032704027</v>
      </c>
      <c r="H14" s="78"/>
      <c r="I14" s="78"/>
      <c r="J14" s="78"/>
      <c r="K14" s="78"/>
      <c r="L14" s="78"/>
      <c r="M14" s="78"/>
      <c r="N14" s="78"/>
    </row>
    <row r="15" spans="1:16" x14ac:dyDescent="0.25">
      <c r="A15" s="74" t="s">
        <v>54</v>
      </c>
      <c r="B15" s="64"/>
      <c r="C15" s="75"/>
      <c r="D15" s="76"/>
      <c r="E15" s="77"/>
      <c r="F15" s="77"/>
      <c r="G15" s="77">
        <f>SUM(G10,G12)/2</f>
        <v>64.455654895536895</v>
      </c>
      <c r="H15" s="78"/>
      <c r="I15" s="78"/>
      <c r="J15" s="78"/>
      <c r="K15" s="78"/>
      <c r="L15" s="78"/>
      <c r="M15" s="78"/>
      <c r="N15" s="78"/>
    </row>
    <row r="17" spans="1:15" ht="14.25" customHeight="1" x14ac:dyDescent="0.25">
      <c r="A17" s="67" t="s">
        <v>35</v>
      </c>
      <c r="B17" s="60"/>
      <c r="C17" s="60"/>
      <c r="D17" s="60"/>
      <c r="E17" s="60"/>
      <c r="F17" s="60"/>
      <c r="G17" s="60"/>
      <c r="H17" s="60"/>
      <c r="I17" s="60"/>
    </row>
    <row r="18" spans="1:15" ht="14.25" customHeight="1" x14ac:dyDescent="0.25">
      <c r="A18" s="60"/>
      <c r="B18" s="60"/>
      <c r="C18" s="60"/>
      <c r="D18" s="60"/>
      <c r="E18" s="60"/>
      <c r="F18" s="60"/>
      <c r="G18" s="60"/>
      <c r="H18" s="60"/>
      <c r="I18" s="60"/>
    </row>
    <row r="19" spans="1:15" ht="16.5" x14ac:dyDescent="0.25">
      <c r="A19" s="87" t="s">
        <v>40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</row>
    <row r="22" spans="1:15" x14ac:dyDescent="0.25">
      <c r="A22" s="71" t="s">
        <v>46</v>
      </c>
      <c r="B22" s="71" t="s">
        <v>47</v>
      </c>
      <c r="C22" s="71"/>
      <c r="D22" s="71" t="s">
        <v>48</v>
      </c>
      <c r="E22" s="72"/>
    </row>
    <row r="23" spans="1:15" x14ac:dyDescent="0.25">
      <c r="A23" s="71"/>
      <c r="B23" s="71"/>
      <c r="C23" s="71"/>
      <c r="D23" s="71"/>
      <c r="E23" s="72"/>
      <c r="I23" s="64"/>
    </row>
    <row r="24" spans="1:15" x14ac:dyDescent="0.25">
      <c r="A24" s="71" t="s">
        <v>49</v>
      </c>
      <c r="B24" s="71" t="s">
        <v>50</v>
      </c>
      <c r="C24" s="71"/>
      <c r="D24" s="71" t="s">
        <v>48</v>
      </c>
      <c r="E24" s="72"/>
      <c r="F24" s="71"/>
    </row>
  </sheetData>
  <mergeCells count="14">
    <mergeCell ref="H9:H13"/>
    <mergeCell ref="A19:O19"/>
    <mergeCell ref="I6:P6"/>
    <mergeCell ref="A2:O2"/>
    <mergeCell ref="A3:O3"/>
    <mergeCell ref="A4:O4"/>
    <mergeCell ref="A6:A7"/>
    <mergeCell ref="B6:B7"/>
    <mergeCell ref="D6:D7"/>
    <mergeCell ref="E6:E7"/>
    <mergeCell ref="F6:F7"/>
    <mergeCell ref="G6:G7"/>
    <mergeCell ref="H6:H7"/>
    <mergeCell ref="C6:C7"/>
  </mergeCells>
  <pageMargins left="0.70866141732283472" right="0.70866141732283472" top="0.35433070866141736" bottom="0.74803149606299213" header="0" footer="0"/>
  <pageSetup paperSize="9" scale="8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V28"/>
  <sheetViews>
    <sheetView zoomScaleNormal="100" workbookViewId="0">
      <selection activeCell="D9" sqref="D9"/>
    </sheetView>
  </sheetViews>
  <sheetFormatPr defaultRowHeight="15" x14ac:dyDescent="0.25"/>
  <cols>
    <col min="1" max="1" width="17.140625" customWidth="1"/>
    <col min="2" max="2" width="15.140625" customWidth="1"/>
    <col min="3" max="3" width="15.140625" hidden="1" customWidth="1"/>
    <col min="4" max="4" width="14.7109375" customWidth="1"/>
    <col min="5" max="5" width="10.42578125" customWidth="1"/>
    <col min="6" max="6" width="13.28515625" customWidth="1"/>
    <col min="7" max="7" width="13.5703125" customWidth="1"/>
    <col min="8" max="8" width="10.28515625" customWidth="1"/>
    <col min="9" max="9" width="5.5703125" customWidth="1"/>
    <col min="10" max="10" width="7.42578125" customWidth="1"/>
    <col min="11" max="11" width="5.7109375" customWidth="1"/>
    <col min="12" max="12" width="7.42578125" bestFit="1" customWidth="1"/>
    <col min="13" max="13" width="6.140625" customWidth="1"/>
    <col min="14" max="14" width="6.7109375" customWidth="1"/>
    <col min="15" max="17" width="7.28515625" customWidth="1"/>
  </cols>
  <sheetData>
    <row r="2" spans="1:17" ht="18.75" x14ac:dyDescent="0.3">
      <c r="A2" s="85" t="s">
        <v>12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17" ht="18.75" x14ac:dyDescent="0.3">
      <c r="A3" s="85" t="s">
        <v>13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17" ht="18.75" customHeight="1" x14ac:dyDescent="0.3">
      <c r="A4" s="86" t="s">
        <v>61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</row>
    <row r="6" spans="1:17" ht="15" customHeight="1" x14ac:dyDescent="0.25">
      <c r="A6" s="89" t="s">
        <v>19</v>
      </c>
      <c r="B6" s="89" t="s">
        <v>44</v>
      </c>
      <c r="C6" s="89" t="s">
        <v>59</v>
      </c>
      <c r="D6" s="89" t="s">
        <v>58</v>
      </c>
      <c r="E6" s="89" t="s">
        <v>60</v>
      </c>
      <c r="F6" s="89" t="s">
        <v>62</v>
      </c>
      <c r="G6" s="89" t="s">
        <v>37</v>
      </c>
      <c r="H6" s="89" t="s">
        <v>38</v>
      </c>
      <c r="I6" s="93" t="s">
        <v>45</v>
      </c>
      <c r="J6" s="94"/>
      <c r="K6" s="94"/>
      <c r="L6" s="94"/>
      <c r="M6" s="94"/>
      <c r="N6" s="94"/>
      <c r="O6" s="94"/>
      <c r="P6" s="94"/>
      <c r="Q6" s="95"/>
    </row>
    <row r="7" spans="1:17" ht="57.75" customHeight="1" x14ac:dyDescent="0.25">
      <c r="A7" s="90"/>
      <c r="B7" s="90"/>
      <c r="C7" s="90"/>
      <c r="D7" s="90"/>
      <c r="E7" s="90"/>
      <c r="F7" s="90"/>
      <c r="G7" s="90"/>
      <c r="H7" s="90"/>
      <c r="I7" s="73">
        <v>2009</v>
      </c>
      <c r="J7" s="73">
        <v>2010</v>
      </c>
      <c r="K7" s="73">
        <v>2011</v>
      </c>
      <c r="L7" s="73">
        <v>2012</v>
      </c>
      <c r="M7" s="73">
        <v>2013</v>
      </c>
      <c r="N7" s="73">
        <v>2014</v>
      </c>
      <c r="O7" s="73">
        <v>2015</v>
      </c>
      <c r="P7" s="73">
        <v>2016</v>
      </c>
      <c r="Q7" s="73">
        <v>2017</v>
      </c>
    </row>
    <row r="8" spans="1:17" ht="13.5" customHeight="1" x14ac:dyDescent="0.25">
      <c r="A8" s="62"/>
      <c r="B8" s="69">
        <v>1</v>
      </c>
      <c r="C8" s="69"/>
      <c r="D8" s="69">
        <v>2</v>
      </c>
      <c r="E8" s="69">
        <v>3</v>
      </c>
      <c r="F8" s="69">
        <v>4</v>
      </c>
      <c r="G8" s="69">
        <v>5</v>
      </c>
      <c r="H8" s="69">
        <v>6</v>
      </c>
      <c r="I8" s="73">
        <v>7</v>
      </c>
      <c r="J8" s="73">
        <v>8</v>
      </c>
      <c r="K8" s="61">
        <v>9</v>
      </c>
      <c r="L8" s="61">
        <v>10</v>
      </c>
      <c r="M8" s="61">
        <v>11</v>
      </c>
      <c r="N8" s="61">
        <v>12</v>
      </c>
      <c r="O8" s="61">
        <v>13</v>
      </c>
      <c r="P8" s="61">
        <v>14</v>
      </c>
      <c r="Q8" s="61">
        <v>15</v>
      </c>
    </row>
    <row r="9" spans="1:17" x14ac:dyDescent="0.25">
      <c r="A9" s="63" t="s">
        <v>28</v>
      </c>
      <c r="B9" s="43">
        <v>772.09</v>
      </c>
      <c r="C9" s="43"/>
      <c r="D9" s="65">
        <f>443.09184-C9</f>
        <v>443.09183999999999</v>
      </c>
      <c r="E9" s="68">
        <v>1.2769999999999999</v>
      </c>
      <c r="F9" s="68">
        <f>D9-E9</f>
        <v>441.81484</v>
      </c>
      <c r="G9" s="68">
        <f>F9/B9*100</f>
        <v>57.223230452408394</v>
      </c>
      <c r="H9" s="88">
        <f>(G9+G10+G11+G12+G13)/5</f>
        <v>55.803336909046514</v>
      </c>
      <c r="I9" s="42">
        <v>48.95</v>
      </c>
      <c r="J9" s="42">
        <v>6.1</v>
      </c>
      <c r="K9" s="42">
        <v>56.95</v>
      </c>
      <c r="L9" s="42">
        <v>22.26</v>
      </c>
      <c r="M9" s="42">
        <v>17.170000000000002</v>
      </c>
      <c r="N9" s="42">
        <v>15.085000000000001</v>
      </c>
      <c r="O9" s="42">
        <v>18.23</v>
      </c>
      <c r="P9" s="42">
        <f>21.098+0.38</f>
        <v>21.477999999999998</v>
      </c>
      <c r="Q9" s="42">
        <v>1.2769999999999999</v>
      </c>
    </row>
    <row r="10" spans="1:17" x14ac:dyDescent="0.25">
      <c r="A10" s="63" t="s">
        <v>30</v>
      </c>
      <c r="B10" s="43">
        <v>2288.5700000000002</v>
      </c>
      <c r="C10" s="43"/>
      <c r="D10" s="65">
        <f>1364.39254-C10</f>
        <v>1364.3925400000001</v>
      </c>
      <c r="E10" s="68">
        <v>4.6929999999999996</v>
      </c>
      <c r="F10" s="68">
        <f t="shared" ref="F10:F12" si="0">D10-E10</f>
        <v>1359.6995400000001</v>
      </c>
      <c r="G10" s="68">
        <f t="shared" ref="G10:G11" si="1">F10/B10*100</f>
        <v>59.412626225109996</v>
      </c>
      <c r="H10" s="88"/>
      <c r="I10" s="43">
        <v>197.45</v>
      </c>
      <c r="J10" s="43">
        <v>29.7</v>
      </c>
      <c r="K10" s="42">
        <v>100.94</v>
      </c>
      <c r="L10" s="42">
        <v>43.03</v>
      </c>
      <c r="M10" s="42">
        <v>64.739999999999995</v>
      </c>
      <c r="N10" s="42">
        <v>55.587000000000003</v>
      </c>
      <c r="O10" s="42">
        <v>44.09</v>
      </c>
      <c r="P10" s="42">
        <f>28.854+4.031</f>
        <v>32.884999999999998</v>
      </c>
      <c r="Q10" s="42">
        <v>4.6929999999999996</v>
      </c>
    </row>
    <row r="11" spans="1:17" x14ac:dyDescent="0.25">
      <c r="A11" s="63" t="s">
        <v>29</v>
      </c>
      <c r="B11" s="43">
        <v>35.96</v>
      </c>
      <c r="C11" s="43"/>
      <c r="D11" s="65">
        <f>13.19638-C11</f>
        <v>13.19638</v>
      </c>
      <c r="E11" s="68"/>
      <c r="F11" s="68">
        <f>D11-E11</f>
        <v>13.19638</v>
      </c>
      <c r="G11" s="68">
        <f t="shared" si="1"/>
        <v>36.697385984427136</v>
      </c>
      <c r="H11" s="88"/>
      <c r="I11" s="42"/>
      <c r="J11" s="42">
        <v>0.4</v>
      </c>
      <c r="K11" s="42">
        <v>1.87</v>
      </c>
      <c r="L11" s="42">
        <v>2.0499999999999998</v>
      </c>
      <c r="M11" s="42">
        <v>2.56</v>
      </c>
      <c r="N11" s="42">
        <v>1.0900000000000001</v>
      </c>
      <c r="O11" s="42">
        <v>0.31</v>
      </c>
      <c r="P11" s="42">
        <v>0.155</v>
      </c>
      <c r="Q11" s="42"/>
    </row>
    <row r="12" spans="1:17" x14ac:dyDescent="0.25">
      <c r="A12" s="63" t="s">
        <v>31</v>
      </c>
      <c r="B12" s="43">
        <v>61.16</v>
      </c>
      <c r="C12" s="43">
        <f>67.46-B12</f>
        <v>6.2999999999999972</v>
      </c>
      <c r="D12" s="65">
        <f>46.29482-C12</f>
        <v>39.994820000000004</v>
      </c>
      <c r="E12" s="68"/>
      <c r="F12" s="68">
        <f t="shared" si="0"/>
        <v>39.994820000000004</v>
      </c>
      <c r="G12" s="68">
        <f>F12/B12*100</f>
        <v>65.393754087638996</v>
      </c>
      <c r="H12" s="88"/>
      <c r="I12" s="42"/>
      <c r="J12" s="42">
        <v>0.2</v>
      </c>
      <c r="K12" s="42"/>
      <c r="L12" s="42">
        <v>0.25</v>
      </c>
      <c r="M12" s="42"/>
      <c r="N12" s="42"/>
      <c r="O12" s="42"/>
      <c r="P12" s="42"/>
      <c r="Q12" s="42"/>
    </row>
    <row r="13" spans="1:17" ht="36" customHeight="1" x14ac:dyDescent="0.25">
      <c r="A13" s="63" t="s">
        <v>36</v>
      </c>
      <c r="B13" s="43">
        <v>1057</v>
      </c>
      <c r="C13" s="43">
        <f>1075-B13</f>
        <v>18</v>
      </c>
      <c r="D13" s="66">
        <f>655.262-C13</f>
        <v>637.26199999999994</v>
      </c>
      <c r="E13" s="68"/>
      <c r="F13" s="65">
        <f>D13-E13</f>
        <v>637.26199999999994</v>
      </c>
      <c r="G13" s="66">
        <f>F13/B13*100</f>
        <v>60.289687795648049</v>
      </c>
      <c r="H13" s="88"/>
      <c r="I13" s="42">
        <v>35</v>
      </c>
      <c r="J13" s="42">
        <v>39</v>
      </c>
      <c r="K13" s="42">
        <v>119</v>
      </c>
      <c r="L13" s="42">
        <v>5</v>
      </c>
      <c r="M13" s="42">
        <v>27</v>
      </c>
      <c r="N13" s="42">
        <v>14</v>
      </c>
      <c r="O13" s="42">
        <v>7</v>
      </c>
      <c r="P13" s="42">
        <v>8</v>
      </c>
      <c r="Q13" s="42"/>
    </row>
    <row r="14" spans="1:17" x14ac:dyDescent="0.25">
      <c r="A14" s="74" t="s">
        <v>53</v>
      </c>
      <c r="B14" s="64"/>
      <c r="C14" s="75"/>
      <c r="D14" s="76"/>
      <c r="E14" s="77"/>
      <c r="F14" s="77"/>
      <c r="G14" s="77">
        <f>SUM(G9,G11,G13)/3</f>
        <v>51.403434744161189</v>
      </c>
      <c r="H14" s="78"/>
      <c r="I14" s="78"/>
      <c r="J14" s="78"/>
      <c r="K14" s="78"/>
      <c r="L14" s="78"/>
      <c r="M14" s="78"/>
      <c r="N14" s="78"/>
    </row>
    <row r="15" spans="1:17" x14ac:dyDescent="0.25">
      <c r="A15" s="74" t="s">
        <v>54</v>
      </c>
      <c r="B15" s="64"/>
      <c r="C15" s="75"/>
      <c r="D15" s="76"/>
      <c r="E15" s="77"/>
      <c r="F15" s="77"/>
      <c r="G15" s="77">
        <f>SUM(G10,G12)/2</f>
        <v>62.403190156374492</v>
      </c>
      <c r="H15" s="78"/>
      <c r="I15" s="78"/>
      <c r="J15" s="78"/>
      <c r="K15" s="78"/>
      <c r="L15" s="78"/>
      <c r="M15" s="78"/>
      <c r="N15" s="78"/>
    </row>
    <row r="17" spans="1:22" ht="14.25" customHeight="1" x14ac:dyDescent="0.25">
      <c r="A17" s="67" t="s">
        <v>35</v>
      </c>
      <c r="B17" s="60"/>
      <c r="C17" s="60"/>
      <c r="D17" s="60"/>
      <c r="E17" s="60"/>
      <c r="F17" s="60"/>
      <c r="G17" s="60"/>
      <c r="H17" s="60"/>
      <c r="I17" s="60"/>
    </row>
    <row r="18" spans="1:22" ht="14.25" customHeight="1" x14ac:dyDescent="0.25">
      <c r="A18" s="60"/>
      <c r="B18" s="60"/>
      <c r="C18" s="60"/>
      <c r="D18" s="60"/>
      <c r="E18" s="60"/>
      <c r="F18" s="60"/>
      <c r="G18" s="60"/>
      <c r="H18" s="60"/>
      <c r="I18" s="60"/>
    </row>
    <row r="19" spans="1:22" ht="16.5" x14ac:dyDescent="0.25">
      <c r="A19" s="87" t="s">
        <v>40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</row>
    <row r="22" spans="1:22" x14ac:dyDescent="0.25">
      <c r="A22" s="71" t="s">
        <v>46</v>
      </c>
      <c r="B22" s="71" t="s">
        <v>63</v>
      </c>
      <c r="C22" s="71"/>
      <c r="D22" s="71" t="s">
        <v>48</v>
      </c>
      <c r="E22" s="72"/>
    </row>
    <row r="23" spans="1:22" x14ac:dyDescent="0.25">
      <c r="A23" s="71"/>
      <c r="B23" s="71"/>
      <c r="C23" s="71"/>
      <c r="D23" s="71"/>
      <c r="E23" s="72"/>
      <c r="I23" s="64"/>
    </row>
    <row r="24" spans="1:22" x14ac:dyDescent="0.25">
      <c r="A24" s="71" t="s">
        <v>49</v>
      </c>
      <c r="B24" s="71" t="s">
        <v>50</v>
      </c>
      <c r="C24" s="71"/>
      <c r="D24" s="71" t="s">
        <v>48</v>
      </c>
      <c r="E24" s="72"/>
      <c r="F24" s="71"/>
    </row>
    <row r="28" spans="1:22" x14ac:dyDescent="0.25"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</row>
  </sheetData>
  <mergeCells count="15">
    <mergeCell ref="A2:O2"/>
    <mergeCell ref="A3:O3"/>
    <mergeCell ref="A4:O4"/>
    <mergeCell ref="A6:A7"/>
    <mergeCell ref="B6:B7"/>
    <mergeCell ref="C6:C7"/>
    <mergeCell ref="D6:D7"/>
    <mergeCell ref="E6:E7"/>
    <mergeCell ref="F6:F7"/>
    <mergeCell ref="G6:G7"/>
    <mergeCell ref="D28:V28"/>
    <mergeCell ref="H6:H7"/>
    <mergeCell ref="H9:H13"/>
    <mergeCell ref="A19:O19"/>
    <mergeCell ref="I6:Q6"/>
  </mergeCells>
  <pageMargins left="0.59055118110236227" right="0.39370078740157483" top="0.39370078740157483" bottom="0.39370078740157483" header="0" footer="0"/>
  <pageSetup paperSize="9" scale="8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W28"/>
  <sheetViews>
    <sheetView zoomScaleNormal="100" workbookViewId="0">
      <selection activeCell="D9" sqref="D9"/>
    </sheetView>
  </sheetViews>
  <sheetFormatPr defaultRowHeight="15" x14ac:dyDescent="0.25"/>
  <cols>
    <col min="1" max="1" width="17.140625" customWidth="1"/>
    <col min="2" max="2" width="15.140625" customWidth="1"/>
    <col min="3" max="3" width="15.140625" hidden="1" customWidth="1"/>
    <col min="4" max="4" width="14.7109375" customWidth="1"/>
    <col min="5" max="5" width="10.42578125" customWidth="1"/>
    <col min="6" max="6" width="13.28515625" customWidth="1"/>
    <col min="7" max="7" width="13.5703125" customWidth="1"/>
    <col min="8" max="8" width="10.28515625" customWidth="1"/>
    <col min="9" max="9" width="5.5703125" customWidth="1"/>
    <col min="10" max="10" width="7.42578125" customWidth="1"/>
    <col min="11" max="11" width="5.7109375" customWidth="1"/>
    <col min="12" max="12" width="7.42578125" bestFit="1" customWidth="1"/>
    <col min="13" max="13" width="6.140625" customWidth="1"/>
    <col min="14" max="14" width="6.7109375" customWidth="1"/>
    <col min="15" max="18" width="7.28515625" customWidth="1"/>
  </cols>
  <sheetData>
    <row r="2" spans="1:18" ht="18.75" x14ac:dyDescent="0.3">
      <c r="A2" s="85" t="s">
        <v>12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18" ht="18.75" x14ac:dyDescent="0.3">
      <c r="A3" s="85" t="s">
        <v>13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18" ht="18.75" customHeight="1" x14ac:dyDescent="0.3">
      <c r="A4" s="86" t="s">
        <v>65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</row>
    <row r="6" spans="1:18" ht="15" customHeight="1" x14ac:dyDescent="0.25">
      <c r="A6" s="89" t="s">
        <v>19</v>
      </c>
      <c r="B6" s="89" t="s">
        <v>66</v>
      </c>
      <c r="C6" s="89" t="s">
        <v>59</v>
      </c>
      <c r="D6" s="89" t="s">
        <v>64</v>
      </c>
      <c r="E6" s="89" t="s">
        <v>68</v>
      </c>
      <c r="F6" s="89" t="s">
        <v>69</v>
      </c>
      <c r="G6" s="89" t="s">
        <v>37</v>
      </c>
      <c r="H6" s="89" t="s">
        <v>38</v>
      </c>
      <c r="I6" s="91" t="s">
        <v>45</v>
      </c>
      <c r="J6" s="91"/>
      <c r="K6" s="91"/>
      <c r="L6" s="91"/>
      <c r="M6" s="91"/>
      <c r="N6" s="91"/>
      <c r="O6" s="91"/>
      <c r="P6" s="91"/>
      <c r="Q6" s="91"/>
      <c r="R6" s="91"/>
    </row>
    <row r="7" spans="1:18" ht="57.75" customHeight="1" x14ac:dyDescent="0.25">
      <c r="A7" s="90"/>
      <c r="B7" s="90"/>
      <c r="C7" s="90"/>
      <c r="D7" s="90"/>
      <c r="E7" s="90"/>
      <c r="F7" s="90"/>
      <c r="G7" s="90"/>
      <c r="H7" s="90"/>
      <c r="I7" s="73">
        <v>2009</v>
      </c>
      <c r="J7" s="73">
        <v>2010</v>
      </c>
      <c r="K7" s="73">
        <v>2011</v>
      </c>
      <c r="L7" s="73">
        <v>2012</v>
      </c>
      <c r="M7" s="73">
        <v>2013</v>
      </c>
      <c r="N7" s="73">
        <v>2014</v>
      </c>
      <c r="O7" s="73">
        <v>2015</v>
      </c>
      <c r="P7" s="73">
        <v>2016</v>
      </c>
      <c r="Q7" s="73">
        <v>2017</v>
      </c>
      <c r="R7" s="73">
        <v>2018</v>
      </c>
    </row>
    <row r="8" spans="1:18" ht="13.5" customHeight="1" x14ac:dyDescent="0.25">
      <c r="A8" s="62"/>
      <c r="B8" s="69">
        <v>1</v>
      </c>
      <c r="C8" s="69"/>
      <c r="D8" s="69">
        <v>2</v>
      </c>
      <c r="E8" s="69">
        <v>3</v>
      </c>
      <c r="F8" s="69">
        <v>4</v>
      </c>
      <c r="G8" s="69">
        <v>5</v>
      </c>
      <c r="H8" s="69">
        <v>6</v>
      </c>
      <c r="I8" s="73">
        <v>7</v>
      </c>
      <c r="J8" s="73">
        <v>8</v>
      </c>
      <c r="K8" s="61">
        <v>9</v>
      </c>
      <c r="L8" s="61">
        <v>10</v>
      </c>
      <c r="M8" s="61">
        <v>11</v>
      </c>
      <c r="N8" s="61">
        <v>12</v>
      </c>
      <c r="O8" s="61">
        <v>13</v>
      </c>
      <c r="P8" s="61">
        <v>14</v>
      </c>
      <c r="Q8" s="61">
        <v>15</v>
      </c>
      <c r="R8" s="61">
        <v>16</v>
      </c>
    </row>
    <row r="9" spans="1:18" x14ac:dyDescent="0.25">
      <c r="A9" s="63" t="s">
        <v>28</v>
      </c>
      <c r="B9" s="43">
        <v>778.58</v>
      </c>
      <c r="C9" s="43"/>
      <c r="D9" s="80">
        <v>441.81484</v>
      </c>
      <c r="E9" s="79">
        <v>1.5249999999999999</v>
      </c>
      <c r="F9" s="70">
        <f>(D9-E9)*1.027</f>
        <v>452.17766567999996</v>
      </c>
      <c r="G9" s="68">
        <f>F9/B9*100</f>
        <v>58.077225934393375</v>
      </c>
      <c r="H9" s="88">
        <f>(G9+G10+G11+G12+G13)/5</f>
        <v>55.845817626997267</v>
      </c>
      <c r="I9" s="42">
        <v>48.95</v>
      </c>
      <c r="J9" s="42">
        <v>6.1</v>
      </c>
      <c r="K9" s="42">
        <v>56.95</v>
      </c>
      <c r="L9" s="42">
        <v>22.26</v>
      </c>
      <c r="M9" s="42">
        <v>17.170000000000002</v>
      </c>
      <c r="N9" s="42">
        <v>15.085000000000001</v>
      </c>
      <c r="O9" s="42">
        <v>18.23</v>
      </c>
      <c r="P9" s="42">
        <f>21.098+0.38</f>
        <v>21.477999999999998</v>
      </c>
      <c r="Q9" s="42">
        <v>1.2769999999999999</v>
      </c>
      <c r="R9" s="42">
        <v>1.5249999999999999</v>
      </c>
    </row>
    <row r="10" spans="1:18" x14ac:dyDescent="0.25">
      <c r="A10" s="63" t="s">
        <v>30</v>
      </c>
      <c r="B10" s="43">
        <v>2304.7399999999998</v>
      </c>
      <c r="C10" s="43"/>
      <c r="D10" s="80">
        <v>1359.6995400000001</v>
      </c>
      <c r="E10" s="79">
        <v>8.0259999999999998</v>
      </c>
      <c r="F10" s="70">
        <f>(D10-E10)*1.027</f>
        <v>1388.1687255799998</v>
      </c>
      <c r="G10" s="68">
        <f t="shared" ref="G10:G11" si="0">F10/B10*100</f>
        <v>60.23103367755148</v>
      </c>
      <c r="H10" s="88"/>
      <c r="I10" s="43">
        <v>197.45</v>
      </c>
      <c r="J10" s="43">
        <v>29.7</v>
      </c>
      <c r="K10" s="42">
        <v>100.94</v>
      </c>
      <c r="L10" s="42">
        <v>43.03</v>
      </c>
      <c r="M10" s="42">
        <v>64.739999999999995</v>
      </c>
      <c r="N10" s="42">
        <v>55.587000000000003</v>
      </c>
      <c r="O10" s="42">
        <v>44.09</v>
      </c>
      <c r="P10" s="42">
        <f>28.854+4.031</f>
        <v>32.884999999999998</v>
      </c>
      <c r="Q10" s="42">
        <v>4.6929999999999996</v>
      </c>
      <c r="R10" s="42">
        <v>8.0259999999999998</v>
      </c>
    </row>
    <row r="11" spans="1:18" x14ac:dyDescent="0.25">
      <c r="A11" s="63" t="s">
        <v>29</v>
      </c>
      <c r="B11" s="43">
        <v>38.369999999999997</v>
      </c>
      <c r="C11" s="43"/>
      <c r="D11" s="80">
        <v>13.19638</v>
      </c>
      <c r="E11" s="79">
        <v>1.4E-2</v>
      </c>
      <c r="F11" s="70">
        <f>(D11-E11)*1.027</f>
        <v>13.538304259999999</v>
      </c>
      <c r="G11" s="68">
        <f t="shared" si="0"/>
        <v>35.283565962991922</v>
      </c>
      <c r="H11" s="88"/>
      <c r="I11" s="42"/>
      <c r="J11" s="42">
        <v>0.4</v>
      </c>
      <c r="K11" s="42">
        <v>1.87</v>
      </c>
      <c r="L11" s="42">
        <v>2.0499999999999998</v>
      </c>
      <c r="M11" s="42">
        <v>2.56</v>
      </c>
      <c r="N11" s="42">
        <v>1.0900000000000001</v>
      </c>
      <c r="O11" s="42">
        <v>0.31</v>
      </c>
      <c r="P11" s="42">
        <v>0.155</v>
      </c>
      <c r="Q11" s="42"/>
      <c r="R11" s="42">
        <v>1.4E-2</v>
      </c>
    </row>
    <row r="12" spans="1:18" x14ac:dyDescent="0.25">
      <c r="A12" s="63" t="s">
        <v>31</v>
      </c>
      <c r="B12" s="43">
        <v>62.14</v>
      </c>
      <c r="C12" s="43">
        <f>67.46-B12</f>
        <v>5.3199999999999932</v>
      </c>
      <c r="D12" s="80">
        <v>39.994820000000004</v>
      </c>
      <c r="E12" s="68"/>
      <c r="F12" s="70">
        <f>(D12-E12)*1.027</f>
        <v>41.074680139999998</v>
      </c>
      <c r="G12" s="68">
        <f>F12/B12*100</f>
        <v>66.10022552301254</v>
      </c>
      <c r="H12" s="88"/>
      <c r="I12" s="42"/>
      <c r="J12" s="42">
        <v>0.2</v>
      </c>
      <c r="K12" s="42"/>
      <c r="L12" s="42">
        <v>0.25</v>
      </c>
      <c r="M12" s="42"/>
      <c r="N12" s="42"/>
      <c r="O12" s="42"/>
      <c r="P12" s="42"/>
      <c r="Q12" s="42"/>
      <c r="R12" s="42"/>
    </row>
    <row r="13" spans="1:18" ht="38.25" x14ac:dyDescent="0.25">
      <c r="A13" s="63" t="s">
        <v>36</v>
      </c>
      <c r="B13" s="43">
        <v>1080</v>
      </c>
      <c r="C13" s="43">
        <f>1075-B13</f>
        <v>-5</v>
      </c>
      <c r="D13" s="66">
        <v>637</v>
      </c>
      <c r="E13" s="68"/>
      <c r="F13" s="43">
        <v>643</v>
      </c>
      <c r="G13" s="66">
        <f>F13/B13*100</f>
        <v>59.537037037037031</v>
      </c>
      <c r="H13" s="88"/>
      <c r="I13" s="42">
        <v>35</v>
      </c>
      <c r="J13" s="42">
        <v>39</v>
      </c>
      <c r="K13" s="42">
        <v>119</v>
      </c>
      <c r="L13" s="42">
        <v>5</v>
      </c>
      <c r="M13" s="42">
        <v>27</v>
      </c>
      <c r="N13" s="42">
        <v>14</v>
      </c>
      <c r="O13" s="42">
        <v>7</v>
      </c>
      <c r="P13" s="42">
        <v>8</v>
      </c>
      <c r="Q13" s="42"/>
      <c r="R13" s="42"/>
    </row>
    <row r="14" spans="1:18" x14ac:dyDescent="0.25">
      <c r="A14" s="74" t="s">
        <v>53</v>
      </c>
      <c r="B14" s="64"/>
      <c r="C14" s="75"/>
      <c r="D14" s="76"/>
      <c r="E14" s="77"/>
      <c r="F14" s="77"/>
      <c r="G14" s="77">
        <f>SUM(G9,G11,G13)/3</f>
        <v>50.965942978140781</v>
      </c>
      <c r="H14" s="78"/>
      <c r="I14" s="78"/>
      <c r="J14" s="78"/>
      <c r="K14" s="78"/>
      <c r="L14" s="78"/>
      <c r="M14" s="78"/>
      <c r="N14" s="78"/>
    </row>
    <row r="15" spans="1:18" x14ac:dyDescent="0.25">
      <c r="A15" s="74" t="s">
        <v>54</v>
      </c>
      <c r="B15" s="64"/>
      <c r="C15" s="75"/>
      <c r="D15" s="76"/>
      <c r="E15" s="77"/>
      <c r="F15" s="77"/>
      <c r="G15" s="77">
        <f>SUM(G10,G12)/2</f>
        <v>63.16562960028201</v>
      </c>
      <c r="H15" s="78"/>
      <c r="I15" s="78"/>
      <c r="J15" s="78"/>
      <c r="K15" s="78"/>
      <c r="L15" s="78"/>
      <c r="M15" s="78"/>
      <c r="N15" s="78"/>
    </row>
    <row r="17" spans="1:23" ht="14.25" customHeight="1" x14ac:dyDescent="0.25">
      <c r="A17" s="67" t="s">
        <v>35</v>
      </c>
      <c r="B17" s="60"/>
      <c r="C17" s="60"/>
      <c r="D17" s="60"/>
      <c r="E17" s="60"/>
      <c r="F17" s="60"/>
      <c r="G17" s="60"/>
      <c r="H17" s="60"/>
      <c r="I17" s="60"/>
    </row>
    <row r="18" spans="1:23" ht="14.25" customHeight="1" x14ac:dyDescent="0.25">
      <c r="A18" s="60"/>
      <c r="B18" s="60"/>
      <c r="C18" s="60"/>
      <c r="D18" s="60"/>
      <c r="E18" s="60"/>
      <c r="F18" s="60"/>
      <c r="G18" s="60"/>
      <c r="H18" s="60"/>
      <c r="I18" s="60"/>
    </row>
    <row r="19" spans="1:23" ht="16.5" x14ac:dyDescent="0.25">
      <c r="A19" s="87" t="s">
        <v>40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</row>
    <row r="22" spans="1:23" x14ac:dyDescent="0.25">
      <c r="A22" s="71" t="s">
        <v>46</v>
      </c>
      <c r="B22" s="71" t="s">
        <v>67</v>
      </c>
      <c r="C22" s="71"/>
      <c r="D22" s="71" t="s">
        <v>48</v>
      </c>
      <c r="E22" s="72"/>
    </row>
    <row r="23" spans="1:23" x14ac:dyDescent="0.25">
      <c r="A23" s="71"/>
      <c r="B23" s="71"/>
      <c r="C23" s="71"/>
      <c r="D23" s="71"/>
      <c r="E23" s="72"/>
      <c r="I23" s="64"/>
    </row>
    <row r="24" spans="1:23" x14ac:dyDescent="0.25">
      <c r="A24" s="71" t="s">
        <v>49</v>
      </c>
      <c r="B24" s="71" t="s">
        <v>50</v>
      </c>
      <c r="C24" s="71"/>
      <c r="D24" s="71" t="s">
        <v>48</v>
      </c>
      <c r="E24" s="72"/>
      <c r="F24" s="71"/>
    </row>
    <row r="28" spans="1:23" x14ac:dyDescent="0.25"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</row>
  </sheetData>
  <mergeCells count="15">
    <mergeCell ref="H9:H13"/>
    <mergeCell ref="A19:O19"/>
    <mergeCell ref="D28:W28"/>
    <mergeCell ref="I6:R6"/>
    <mergeCell ref="A2:O2"/>
    <mergeCell ref="A3:O3"/>
    <mergeCell ref="A4:O4"/>
    <mergeCell ref="A6:A7"/>
    <mergeCell ref="B6:B7"/>
    <mergeCell ref="C6:C7"/>
    <mergeCell ref="D6:D7"/>
    <mergeCell ref="E6:E7"/>
    <mergeCell ref="F6:F7"/>
    <mergeCell ref="G6:G7"/>
    <mergeCell ref="H6:H7"/>
  </mergeCells>
  <pageMargins left="0.59055118110236227" right="0.39370078740157483" top="0.39370078740157483" bottom="0.39370078740157483" header="0" footer="0"/>
  <pageSetup paperSize="9" scale="83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X28"/>
  <sheetViews>
    <sheetView zoomScaleNormal="100" workbookViewId="0">
      <selection activeCell="F9" sqref="F9"/>
    </sheetView>
  </sheetViews>
  <sheetFormatPr defaultRowHeight="15" x14ac:dyDescent="0.25"/>
  <cols>
    <col min="1" max="1" width="17.140625" customWidth="1"/>
    <col min="2" max="2" width="15.140625" customWidth="1"/>
    <col min="3" max="3" width="15.140625" hidden="1" customWidth="1"/>
    <col min="4" max="4" width="14.7109375" customWidth="1"/>
    <col min="5" max="5" width="10.42578125" customWidth="1"/>
    <col min="6" max="6" width="13.28515625" customWidth="1"/>
    <col min="7" max="7" width="13.5703125" customWidth="1"/>
    <col min="8" max="8" width="10.28515625" customWidth="1"/>
    <col min="9" max="9" width="5.5703125" customWidth="1"/>
    <col min="10" max="10" width="7.42578125" customWidth="1"/>
    <col min="11" max="11" width="5.7109375" customWidth="1"/>
    <col min="12" max="12" width="7.42578125" bestFit="1" customWidth="1"/>
    <col min="13" max="13" width="6.140625" customWidth="1"/>
    <col min="14" max="14" width="6.7109375" customWidth="1"/>
    <col min="15" max="19" width="7.28515625" customWidth="1"/>
  </cols>
  <sheetData>
    <row r="2" spans="1:19" ht="18.75" x14ac:dyDescent="0.3">
      <c r="A2" s="85" t="s">
        <v>12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19" ht="18.75" x14ac:dyDescent="0.3">
      <c r="A3" s="85" t="s">
        <v>13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19" ht="18.75" customHeight="1" x14ac:dyDescent="0.3">
      <c r="A4" s="86" t="s">
        <v>70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</row>
    <row r="6" spans="1:19" ht="15" customHeight="1" x14ac:dyDescent="0.25">
      <c r="A6" s="89" t="s">
        <v>19</v>
      </c>
      <c r="B6" s="89" t="s">
        <v>71</v>
      </c>
      <c r="C6" s="89" t="s">
        <v>59</v>
      </c>
      <c r="D6" s="89" t="s">
        <v>72</v>
      </c>
      <c r="E6" s="89" t="s">
        <v>73</v>
      </c>
      <c r="F6" s="89" t="s">
        <v>74</v>
      </c>
      <c r="G6" s="89" t="s">
        <v>37</v>
      </c>
      <c r="H6" s="89" t="s">
        <v>38</v>
      </c>
      <c r="I6" s="91" t="s">
        <v>45</v>
      </c>
      <c r="J6" s="91"/>
      <c r="K6" s="91"/>
      <c r="L6" s="91"/>
      <c r="M6" s="91"/>
      <c r="N6" s="91"/>
      <c r="O6" s="91"/>
      <c r="P6" s="91"/>
      <c r="Q6" s="91"/>
      <c r="R6" s="91"/>
      <c r="S6" s="91"/>
    </row>
    <row r="7" spans="1:19" ht="57.75" customHeight="1" x14ac:dyDescent="0.25">
      <c r="A7" s="90"/>
      <c r="B7" s="90"/>
      <c r="C7" s="90"/>
      <c r="D7" s="90"/>
      <c r="E7" s="90"/>
      <c r="F7" s="90"/>
      <c r="G7" s="90"/>
      <c r="H7" s="90"/>
      <c r="I7" s="73">
        <v>2009</v>
      </c>
      <c r="J7" s="73">
        <v>2010</v>
      </c>
      <c r="K7" s="73">
        <v>2011</v>
      </c>
      <c r="L7" s="73">
        <v>2012</v>
      </c>
      <c r="M7" s="73">
        <v>2013</v>
      </c>
      <c r="N7" s="73">
        <v>2014</v>
      </c>
      <c r="O7" s="73">
        <v>2015</v>
      </c>
      <c r="P7" s="73">
        <v>2016</v>
      </c>
      <c r="Q7" s="73">
        <v>2017</v>
      </c>
      <c r="R7" s="73">
        <v>2018</v>
      </c>
      <c r="S7" s="73">
        <v>2019</v>
      </c>
    </row>
    <row r="8" spans="1:19" ht="13.5" customHeight="1" x14ac:dyDescent="0.25">
      <c r="A8" s="62"/>
      <c r="B8" s="69">
        <v>1</v>
      </c>
      <c r="C8" s="69"/>
      <c r="D8" s="69">
        <v>2</v>
      </c>
      <c r="E8" s="69">
        <v>3</v>
      </c>
      <c r="F8" s="69">
        <v>4</v>
      </c>
      <c r="G8" s="69">
        <v>5</v>
      </c>
      <c r="H8" s="69">
        <v>6</v>
      </c>
      <c r="I8" s="73">
        <v>7</v>
      </c>
      <c r="J8" s="73">
        <v>8</v>
      </c>
      <c r="K8" s="61">
        <v>9</v>
      </c>
      <c r="L8" s="61">
        <v>10</v>
      </c>
      <c r="M8" s="61">
        <v>11</v>
      </c>
      <c r="N8" s="61">
        <v>12</v>
      </c>
      <c r="O8" s="61">
        <v>13</v>
      </c>
      <c r="P8" s="61">
        <v>14</v>
      </c>
      <c r="Q8" s="61">
        <v>15</v>
      </c>
      <c r="R8" s="61">
        <v>16</v>
      </c>
      <c r="S8" s="61">
        <v>17</v>
      </c>
    </row>
    <row r="9" spans="1:19" x14ac:dyDescent="0.25">
      <c r="A9" s="63" t="s">
        <v>28</v>
      </c>
      <c r="B9" s="43">
        <v>778.62</v>
      </c>
      <c r="C9" s="43"/>
      <c r="D9" s="80">
        <v>452.18</v>
      </c>
      <c r="E9" s="79">
        <v>0.46100000000000002</v>
      </c>
      <c r="F9" s="70">
        <f>(D9-E9)*1.027</f>
        <v>463.91541299999994</v>
      </c>
      <c r="G9" s="68">
        <f>F9/B9*100</f>
        <v>59.581748863373655</v>
      </c>
      <c r="H9" s="88">
        <f>(G9+G10+G11+G12+G13)/5</f>
        <v>55.991047097476624</v>
      </c>
      <c r="I9" s="42">
        <v>48.95</v>
      </c>
      <c r="J9" s="42">
        <v>6.1</v>
      </c>
      <c r="K9" s="42">
        <v>56.95</v>
      </c>
      <c r="L9" s="42">
        <v>22.26</v>
      </c>
      <c r="M9" s="42">
        <v>17.170000000000002</v>
      </c>
      <c r="N9" s="42">
        <v>15.085000000000001</v>
      </c>
      <c r="O9" s="42">
        <v>18.23</v>
      </c>
      <c r="P9" s="42">
        <f>21.098+0.38</f>
        <v>21.477999999999998</v>
      </c>
      <c r="Q9" s="42">
        <v>1.2769999999999999</v>
      </c>
      <c r="R9" s="42">
        <v>1.5249999999999999</v>
      </c>
      <c r="S9" s="42">
        <v>0.46100000000000002</v>
      </c>
    </row>
    <row r="10" spans="1:19" x14ac:dyDescent="0.25">
      <c r="A10" s="63" t="s">
        <v>30</v>
      </c>
      <c r="B10" s="43">
        <v>2313.7849999999999</v>
      </c>
      <c r="C10" s="43"/>
      <c r="D10" s="80">
        <v>1388.17</v>
      </c>
      <c r="E10" s="79">
        <v>6.9850000000000003</v>
      </c>
      <c r="F10" s="70">
        <f>(D10-E10)*1.027</f>
        <v>1418.476995</v>
      </c>
      <c r="G10" s="68">
        <f t="shared" ref="G10:G11" si="0">F10/B10*100</f>
        <v>61.305479765838236</v>
      </c>
      <c r="H10" s="88"/>
      <c r="I10" s="43">
        <v>197.45</v>
      </c>
      <c r="J10" s="43">
        <v>29.7</v>
      </c>
      <c r="K10" s="42">
        <v>100.94</v>
      </c>
      <c r="L10" s="42">
        <v>43.03</v>
      </c>
      <c r="M10" s="42">
        <v>64.739999999999995</v>
      </c>
      <c r="N10" s="42">
        <v>55.587000000000003</v>
      </c>
      <c r="O10" s="42">
        <v>44.09</v>
      </c>
      <c r="P10" s="42">
        <f>28.854+4.031</f>
        <v>32.884999999999998</v>
      </c>
      <c r="Q10" s="42">
        <v>4.6929999999999996</v>
      </c>
      <c r="R10" s="42">
        <v>8.0259999999999998</v>
      </c>
      <c r="S10" s="42">
        <v>6.9850000000000003</v>
      </c>
    </row>
    <row r="11" spans="1:19" x14ac:dyDescent="0.25">
      <c r="A11" s="63" t="s">
        <v>29</v>
      </c>
      <c r="B11" s="43">
        <v>38.42</v>
      </c>
      <c r="C11" s="43"/>
      <c r="D11" s="80">
        <v>13.54</v>
      </c>
      <c r="E11" s="79"/>
      <c r="F11" s="70">
        <f>(D11-E11)*1.027</f>
        <v>13.905579999999999</v>
      </c>
      <c r="G11" s="68">
        <f t="shared" si="0"/>
        <v>36.193597084851639</v>
      </c>
      <c r="H11" s="88"/>
      <c r="I11" s="42"/>
      <c r="J11" s="42">
        <v>0.4</v>
      </c>
      <c r="K11" s="42">
        <v>1.87</v>
      </c>
      <c r="L11" s="42">
        <v>2.0499999999999998</v>
      </c>
      <c r="M11" s="42">
        <v>2.56</v>
      </c>
      <c r="N11" s="42">
        <v>1.0900000000000001</v>
      </c>
      <c r="O11" s="42">
        <v>0.31</v>
      </c>
      <c r="P11" s="42">
        <v>0.155</v>
      </c>
      <c r="Q11" s="42"/>
      <c r="R11" s="42">
        <v>1.4E-2</v>
      </c>
      <c r="S11" s="42"/>
    </row>
    <row r="12" spans="1:19" x14ac:dyDescent="0.25">
      <c r="A12" s="63" t="s">
        <v>31</v>
      </c>
      <c r="B12" s="43">
        <v>66.593999999999994</v>
      </c>
      <c r="C12" s="43">
        <f>67.46-B12</f>
        <v>0.86599999999999966</v>
      </c>
      <c r="D12" s="80">
        <v>41.07</v>
      </c>
      <c r="E12" s="68"/>
      <c r="F12" s="70">
        <f>(D12-E12)*1.027</f>
        <v>42.178889999999996</v>
      </c>
      <c r="G12" s="68">
        <f>F12/B12*100</f>
        <v>63.337372736282546</v>
      </c>
      <c r="H12" s="88"/>
      <c r="I12" s="42"/>
      <c r="J12" s="42">
        <v>0.2</v>
      </c>
      <c r="K12" s="42"/>
      <c r="L12" s="42">
        <v>0.25</v>
      </c>
      <c r="M12" s="42"/>
      <c r="N12" s="42"/>
      <c r="O12" s="42"/>
      <c r="P12" s="42"/>
      <c r="Q12" s="42"/>
      <c r="R12" s="42"/>
      <c r="S12" s="42"/>
    </row>
    <row r="13" spans="1:19" ht="38.25" x14ac:dyDescent="0.25">
      <c r="A13" s="63" t="s">
        <v>36</v>
      </c>
      <c r="B13" s="43">
        <v>1080</v>
      </c>
      <c r="C13" s="43">
        <f>1075-B13</f>
        <v>-5</v>
      </c>
      <c r="D13" s="66">
        <v>643</v>
      </c>
      <c r="E13" s="68">
        <v>1</v>
      </c>
      <c r="F13" s="43">
        <v>643</v>
      </c>
      <c r="G13" s="66">
        <f>F13/B13*100</f>
        <v>59.537037037037031</v>
      </c>
      <c r="H13" s="88"/>
      <c r="I13" s="42">
        <v>35</v>
      </c>
      <c r="J13" s="42">
        <v>39</v>
      </c>
      <c r="K13" s="42">
        <v>119</v>
      </c>
      <c r="L13" s="42">
        <v>5</v>
      </c>
      <c r="M13" s="42">
        <v>27</v>
      </c>
      <c r="N13" s="42">
        <v>14</v>
      </c>
      <c r="O13" s="42">
        <v>7</v>
      </c>
      <c r="P13" s="42">
        <v>8</v>
      </c>
      <c r="Q13" s="42"/>
      <c r="R13" s="42"/>
      <c r="S13" s="42">
        <v>1</v>
      </c>
    </row>
    <row r="14" spans="1:19" x14ac:dyDescent="0.25">
      <c r="A14" s="74" t="s">
        <v>53</v>
      </c>
      <c r="B14" s="64"/>
      <c r="C14" s="75"/>
      <c r="D14" s="76"/>
      <c r="E14" s="77"/>
      <c r="F14" s="77"/>
      <c r="G14" s="77">
        <f>SUM(G9,G11,G13)/3</f>
        <v>51.770794328420777</v>
      </c>
      <c r="H14" s="78"/>
      <c r="I14" s="78"/>
      <c r="J14" s="78"/>
      <c r="K14" s="78"/>
      <c r="L14" s="78"/>
      <c r="M14" s="78"/>
      <c r="N14" s="78"/>
    </row>
    <row r="15" spans="1:19" x14ac:dyDescent="0.25">
      <c r="A15" s="74" t="s">
        <v>54</v>
      </c>
      <c r="B15" s="64"/>
      <c r="C15" s="75"/>
      <c r="D15" s="76"/>
      <c r="E15" s="77"/>
      <c r="F15" s="77"/>
      <c r="G15" s="77">
        <f>SUM(G10,G12)/2</f>
        <v>62.321426251060387</v>
      </c>
      <c r="H15" s="78"/>
      <c r="I15" s="78"/>
      <c r="J15" s="78"/>
      <c r="K15" s="78"/>
      <c r="L15" s="78"/>
      <c r="M15" s="78"/>
      <c r="N15" s="78"/>
    </row>
    <row r="17" spans="1:24" ht="14.25" customHeight="1" x14ac:dyDescent="0.25">
      <c r="A17" s="67" t="s">
        <v>35</v>
      </c>
      <c r="B17" s="60"/>
      <c r="C17" s="60"/>
      <c r="D17" s="60"/>
      <c r="E17" s="60"/>
      <c r="F17" s="60"/>
      <c r="G17" s="60"/>
      <c r="H17" s="60"/>
      <c r="I17" s="60"/>
    </row>
    <row r="18" spans="1:24" ht="14.25" customHeight="1" x14ac:dyDescent="0.25">
      <c r="A18" s="60"/>
      <c r="B18" s="60"/>
      <c r="C18" s="60"/>
      <c r="D18" s="60"/>
      <c r="E18" s="60"/>
      <c r="F18" s="60"/>
      <c r="G18" s="60"/>
      <c r="H18" s="60"/>
      <c r="I18" s="60"/>
    </row>
    <row r="19" spans="1:24" ht="16.5" x14ac:dyDescent="0.25">
      <c r="A19" s="87" t="s">
        <v>40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</row>
    <row r="22" spans="1:24" x14ac:dyDescent="0.25">
      <c r="A22" s="71" t="s">
        <v>46</v>
      </c>
      <c r="B22" s="71" t="s">
        <v>67</v>
      </c>
      <c r="C22" s="71"/>
      <c r="D22" s="71" t="s">
        <v>48</v>
      </c>
      <c r="E22" s="72"/>
    </row>
    <row r="23" spans="1:24" x14ac:dyDescent="0.25">
      <c r="A23" s="71"/>
      <c r="B23" s="71"/>
      <c r="C23" s="71"/>
      <c r="D23" s="71"/>
      <c r="E23" s="72"/>
      <c r="I23" s="64"/>
    </row>
    <row r="24" spans="1:24" x14ac:dyDescent="0.25">
      <c r="A24" s="71" t="s">
        <v>49</v>
      </c>
      <c r="B24" s="71" t="s">
        <v>50</v>
      </c>
      <c r="C24" s="71"/>
      <c r="D24" s="71" t="s">
        <v>48</v>
      </c>
      <c r="E24" s="72"/>
      <c r="F24" s="71"/>
    </row>
    <row r="28" spans="1:24" x14ac:dyDescent="0.25"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</row>
  </sheetData>
  <mergeCells count="15">
    <mergeCell ref="H9:H13"/>
    <mergeCell ref="A19:O19"/>
    <mergeCell ref="D28:X28"/>
    <mergeCell ref="I6:S6"/>
    <mergeCell ref="A2:O2"/>
    <mergeCell ref="A3:O3"/>
    <mergeCell ref="A4:O4"/>
    <mergeCell ref="A6:A7"/>
    <mergeCell ref="B6:B7"/>
    <mergeCell ref="C6:C7"/>
    <mergeCell ref="D6:D7"/>
    <mergeCell ref="E6:E7"/>
    <mergeCell ref="F6:F7"/>
    <mergeCell ref="G6:G7"/>
    <mergeCell ref="H6:H7"/>
  </mergeCells>
  <pageMargins left="0.59055118110236227" right="0.39370078740157483" top="0.39370078740157483" bottom="0.39370078740157483" header="0" footer="0"/>
  <pageSetup paperSize="9" scale="83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Y28"/>
  <sheetViews>
    <sheetView zoomScaleNormal="100" workbookViewId="0">
      <selection activeCell="F10" sqref="F10"/>
    </sheetView>
  </sheetViews>
  <sheetFormatPr defaultRowHeight="15" x14ac:dyDescent="0.25"/>
  <cols>
    <col min="1" max="1" width="17.140625" customWidth="1"/>
    <col min="2" max="2" width="15.140625" customWidth="1"/>
    <col min="3" max="3" width="15.140625" hidden="1" customWidth="1"/>
    <col min="4" max="4" width="14.7109375" customWidth="1"/>
    <col min="5" max="5" width="10.42578125" customWidth="1"/>
    <col min="6" max="6" width="13.28515625" customWidth="1"/>
    <col min="7" max="7" width="13.5703125" customWidth="1"/>
    <col min="8" max="8" width="10.28515625" customWidth="1"/>
    <col min="9" max="9" width="5.5703125" customWidth="1"/>
    <col min="10" max="10" width="7.42578125" customWidth="1"/>
    <col min="11" max="11" width="5.7109375" customWidth="1"/>
    <col min="12" max="12" width="7.42578125" bestFit="1" customWidth="1"/>
    <col min="13" max="13" width="6.140625" customWidth="1"/>
    <col min="14" max="14" width="6.7109375" customWidth="1"/>
    <col min="15" max="20" width="7.28515625" customWidth="1"/>
  </cols>
  <sheetData>
    <row r="2" spans="1:20" ht="18.75" x14ac:dyDescent="0.3">
      <c r="A2" s="85" t="s">
        <v>12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20" ht="18.75" x14ac:dyDescent="0.3">
      <c r="A3" s="85" t="s">
        <v>13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20" ht="18.75" customHeight="1" x14ac:dyDescent="0.3">
      <c r="A4" s="86" t="s">
        <v>79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</row>
    <row r="6" spans="1:20" ht="15" customHeight="1" x14ac:dyDescent="0.25">
      <c r="A6" s="89" t="s">
        <v>19</v>
      </c>
      <c r="B6" s="89" t="s">
        <v>76</v>
      </c>
      <c r="C6" s="89" t="s">
        <v>59</v>
      </c>
      <c r="D6" s="89" t="s">
        <v>77</v>
      </c>
      <c r="E6" s="89" t="s">
        <v>75</v>
      </c>
      <c r="F6" s="89" t="s">
        <v>78</v>
      </c>
      <c r="G6" s="89" t="s">
        <v>37</v>
      </c>
      <c r="H6" s="89" t="s">
        <v>38</v>
      </c>
      <c r="I6" s="91" t="s">
        <v>45</v>
      </c>
      <c r="J6" s="91"/>
      <c r="K6" s="91"/>
      <c r="L6" s="91"/>
      <c r="M6" s="91"/>
      <c r="N6" s="91"/>
      <c r="O6" s="91"/>
      <c r="P6" s="91"/>
      <c r="Q6" s="91"/>
      <c r="R6" s="91"/>
      <c r="S6" s="93"/>
      <c r="T6" s="81"/>
    </row>
    <row r="7" spans="1:20" ht="57.75" customHeight="1" x14ac:dyDescent="0.25">
      <c r="A7" s="90"/>
      <c r="B7" s="90"/>
      <c r="C7" s="90"/>
      <c r="D7" s="90"/>
      <c r="E7" s="90"/>
      <c r="F7" s="90"/>
      <c r="G7" s="90"/>
      <c r="H7" s="90"/>
      <c r="I7" s="73">
        <v>2009</v>
      </c>
      <c r="J7" s="73">
        <v>2010</v>
      </c>
      <c r="K7" s="73">
        <v>2011</v>
      </c>
      <c r="L7" s="73">
        <v>2012</v>
      </c>
      <c r="M7" s="73">
        <v>2013</v>
      </c>
      <c r="N7" s="73">
        <v>2014</v>
      </c>
      <c r="O7" s="73">
        <v>2015</v>
      </c>
      <c r="P7" s="73">
        <v>2016</v>
      </c>
      <c r="Q7" s="73">
        <v>2017</v>
      </c>
      <c r="R7" s="73">
        <v>2018</v>
      </c>
      <c r="S7" s="73">
        <v>2019</v>
      </c>
      <c r="T7" s="82">
        <v>2020</v>
      </c>
    </row>
    <row r="8" spans="1:20" ht="13.5" customHeight="1" x14ac:dyDescent="0.25">
      <c r="A8" s="62"/>
      <c r="B8" s="69">
        <v>1</v>
      </c>
      <c r="C8" s="69"/>
      <c r="D8" s="69">
        <v>2</v>
      </c>
      <c r="E8" s="69">
        <v>3</v>
      </c>
      <c r="F8" s="69">
        <v>4</v>
      </c>
      <c r="G8" s="69">
        <v>5</v>
      </c>
      <c r="H8" s="69">
        <v>6</v>
      </c>
      <c r="I8" s="73">
        <v>7</v>
      </c>
      <c r="J8" s="73">
        <v>8</v>
      </c>
      <c r="K8" s="61">
        <v>9</v>
      </c>
      <c r="L8" s="61">
        <v>10</v>
      </c>
      <c r="M8" s="61">
        <v>11</v>
      </c>
      <c r="N8" s="61">
        <v>12</v>
      </c>
      <c r="O8" s="61">
        <v>13</v>
      </c>
      <c r="P8" s="61">
        <v>14</v>
      </c>
      <c r="Q8" s="61">
        <v>15</v>
      </c>
      <c r="R8" s="61">
        <v>16</v>
      </c>
      <c r="S8" s="61">
        <v>17</v>
      </c>
      <c r="T8" s="61">
        <v>18</v>
      </c>
    </row>
    <row r="9" spans="1:20" x14ac:dyDescent="0.25">
      <c r="A9" s="63" t="s">
        <v>28</v>
      </c>
      <c r="B9" s="43">
        <v>751.28</v>
      </c>
      <c r="C9" s="43"/>
      <c r="D9" s="70">
        <v>447.62576286075358</v>
      </c>
      <c r="E9" s="79">
        <v>1.1459999999999999</v>
      </c>
      <c r="F9" s="70">
        <f>(D9-E9)*1.055</f>
        <v>471.036149818095</v>
      </c>
      <c r="G9" s="68">
        <f>F9/B9*100</f>
        <v>62.697815703611838</v>
      </c>
      <c r="H9" s="88">
        <f>(G9+G10+G11+G12+G13)/5</f>
        <v>56.212003219607013</v>
      </c>
      <c r="I9" s="42">
        <v>48.95</v>
      </c>
      <c r="J9" s="42">
        <v>6.1</v>
      </c>
      <c r="K9" s="42">
        <v>56.95</v>
      </c>
      <c r="L9" s="42">
        <v>22.26</v>
      </c>
      <c r="M9" s="42">
        <v>17.170000000000002</v>
      </c>
      <c r="N9" s="42">
        <v>15.085000000000001</v>
      </c>
      <c r="O9" s="42">
        <v>18.23</v>
      </c>
      <c r="P9" s="42">
        <f>21.098+0.38</f>
        <v>21.477999999999998</v>
      </c>
      <c r="Q9" s="42">
        <v>1.2769999999999999</v>
      </c>
      <c r="R9" s="42">
        <v>1.5249999999999999</v>
      </c>
      <c r="S9" s="42">
        <v>0.46100000000000002</v>
      </c>
      <c r="T9" s="79">
        <v>1.1459999999999999</v>
      </c>
    </row>
    <row r="10" spans="1:20" x14ac:dyDescent="0.25">
      <c r="A10" s="63" t="s">
        <v>30</v>
      </c>
      <c r="B10" s="43">
        <v>2172.31</v>
      </c>
      <c r="C10" s="43"/>
      <c r="D10" s="70">
        <v>1331.7450675012803</v>
      </c>
      <c r="E10" s="79">
        <v>8.64</v>
      </c>
      <c r="F10" s="70">
        <f t="shared" ref="F10:F13" si="0">(D10-E10)*1.055</f>
        <v>1395.8758462138505</v>
      </c>
      <c r="G10" s="68">
        <f t="shared" ref="G10:G13" si="1">F10/B10*100</f>
        <v>64.25767253356338</v>
      </c>
      <c r="H10" s="88"/>
      <c r="I10" s="43">
        <v>197.45</v>
      </c>
      <c r="J10" s="43">
        <v>29.7</v>
      </c>
      <c r="K10" s="42">
        <v>100.94</v>
      </c>
      <c r="L10" s="42">
        <v>43.03</v>
      </c>
      <c r="M10" s="42">
        <v>64.739999999999995</v>
      </c>
      <c r="N10" s="42">
        <v>55.587000000000003</v>
      </c>
      <c r="O10" s="42">
        <v>44.09</v>
      </c>
      <c r="P10" s="42">
        <f>28.854+4.031</f>
        <v>32.884999999999998</v>
      </c>
      <c r="Q10" s="42">
        <v>4.6929999999999996</v>
      </c>
      <c r="R10" s="42">
        <v>8.0259999999999998</v>
      </c>
      <c r="S10" s="42">
        <v>6.9850000000000003</v>
      </c>
      <c r="T10" s="79">
        <v>8.64</v>
      </c>
    </row>
    <row r="11" spans="1:20" x14ac:dyDescent="0.25">
      <c r="A11" s="63" t="s">
        <v>29</v>
      </c>
      <c r="B11" s="43">
        <v>44.83</v>
      </c>
      <c r="C11" s="43"/>
      <c r="D11" s="70">
        <v>13.91</v>
      </c>
      <c r="E11" s="79">
        <v>0.4</v>
      </c>
      <c r="F11" s="70">
        <f t="shared" si="0"/>
        <v>14.253049999999998</v>
      </c>
      <c r="G11" s="68">
        <f t="shared" si="1"/>
        <v>31.793553424046394</v>
      </c>
      <c r="H11" s="88"/>
      <c r="I11" s="42"/>
      <c r="J11" s="42">
        <v>0.4</v>
      </c>
      <c r="K11" s="42">
        <v>1.87</v>
      </c>
      <c r="L11" s="42">
        <v>2.0499999999999998</v>
      </c>
      <c r="M11" s="42">
        <v>2.56</v>
      </c>
      <c r="N11" s="42">
        <v>1.0900000000000001</v>
      </c>
      <c r="O11" s="42">
        <v>0.31</v>
      </c>
      <c r="P11" s="42">
        <v>0.155</v>
      </c>
      <c r="Q11" s="42"/>
      <c r="R11" s="42">
        <v>1.4E-2</v>
      </c>
      <c r="S11" s="42"/>
      <c r="T11" s="79">
        <v>0.4</v>
      </c>
    </row>
    <row r="12" spans="1:20" x14ac:dyDescent="0.25">
      <c r="A12" s="63" t="s">
        <v>31</v>
      </c>
      <c r="B12" s="43">
        <v>61.99</v>
      </c>
      <c r="C12" s="43">
        <f>67.46-B12</f>
        <v>5.4699999999999918</v>
      </c>
      <c r="D12" s="70">
        <v>39.26283735922155</v>
      </c>
      <c r="E12" s="68">
        <v>0.38</v>
      </c>
      <c r="F12" s="70">
        <f t="shared" si="0"/>
        <v>41.021393413978728</v>
      </c>
      <c r="G12" s="68">
        <f t="shared" si="1"/>
        <v>66.17421102432445</v>
      </c>
      <c r="H12" s="88"/>
      <c r="I12" s="42"/>
      <c r="J12" s="42">
        <v>0.2</v>
      </c>
      <c r="K12" s="42"/>
      <c r="L12" s="42">
        <v>0.25</v>
      </c>
      <c r="M12" s="42"/>
      <c r="N12" s="42"/>
      <c r="O12" s="42"/>
      <c r="P12" s="42"/>
      <c r="Q12" s="42"/>
      <c r="R12" s="42"/>
      <c r="S12" s="42"/>
      <c r="T12" s="68">
        <v>0.38</v>
      </c>
    </row>
    <row r="13" spans="1:20" ht="38.25" x14ac:dyDescent="0.25">
      <c r="A13" s="63" t="s">
        <v>36</v>
      </c>
      <c r="B13" s="43">
        <v>1137</v>
      </c>
      <c r="C13" s="43">
        <f>1075-B13</f>
        <v>-62</v>
      </c>
      <c r="D13" s="70">
        <v>643</v>
      </c>
      <c r="E13" s="68">
        <v>38</v>
      </c>
      <c r="F13" s="70">
        <f t="shared" si="0"/>
        <v>638.27499999999998</v>
      </c>
      <c r="G13" s="68">
        <f t="shared" si="1"/>
        <v>56.136763412488996</v>
      </c>
      <c r="H13" s="88"/>
      <c r="I13" s="42">
        <v>35</v>
      </c>
      <c r="J13" s="42">
        <v>39</v>
      </c>
      <c r="K13" s="42">
        <v>119</v>
      </c>
      <c r="L13" s="42">
        <v>5</v>
      </c>
      <c r="M13" s="42">
        <v>27</v>
      </c>
      <c r="N13" s="42">
        <v>14</v>
      </c>
      <c r="O13" s="42">
        <v>7</v>
      </c>
      <c r="P13" s="42">
        <v>8</v>
      </c>
      <c r="Q13" s="42"/>
      <c r="R13" s="42"/>
      <c r="S13" s="42">
        <v>1</v>
      </c>
      <c r="T13" s="68">
        <v>38</v>
      </c>
    </row>
    <row r="14" spans="1:20" x14ac:dyDescent="0.25">
      <c r="A14" s="74" t="s">
        <v>53</v>
      </c>
      <c r="B14" s="64"/>
      <c r="C14" s="75"/>
      <c r="D14" s="76"/>
      <c r="E14" s="77"/>
      <c r="F14" s="77"/>
      <c r="G14" s="77">
        <f>SUM(G9,G11,G13)/3</f>
        <v>50.209377513382407</v>
      </c>
      <c r="H14" s="78"/>
      <c r="I14" s="78"/>
      <c r="J14" s="78"/>
      <c r="K14" s="78"/>
      <c r="L14" s="78"/>
      <c r="M14" s="78"/>
      <c r="N14" s="78"/>
    </row>
    <row r="15" spans="1:20" x14ac:dyDescent="0.25">
      <c r="A15" s="74" t="s">
        <v>54</v>
      </c>
      <c r="B15" s="64"/>
      <c r="C15" s="75"/>
      <c r="D15" s="76"/>
      <c r="E15" s="77"/>
      <c r="F15" s="77"/>
      <c r="G15" s="77">
        <f>SUM(G10,G12)/2</f>
        <v>65.215941778943915</v>
      </c>
      <c r="H15" s="78"/>
      <c r="I15" s="78"/>
      <c r="J15" s="78"/>
      <c r="K15" s="78"/>
      <c r="L15" s="78"/>
      <c r="M15" s="78"/>
      <c r="N15" s="78"/>
    </row>
    <row r="17" spans="1:25" ht="14.25" customHeight="1" x14ac:dyDescent="0.25">
      <c r="A17" s="67" t="s">
        <v>35</v>
      </c>
      <c r="B17" s="60"/>
      <c r="C17" s="60"/>
      <c r="D17" s="60"/>
      <c r="E17" s="60"/>
      <c r="F17" s="60"/>
      <c r="G17" s="60"/>
      <c r="H17" s="60"/>
      <c r="I17" s="60"/>
    </row>
    <row r="18" spans="1:25" ht="14.25" customHeight="1" x14ac:dyDescent="0.25">
      <c r="A18" s="60"/>
      <c r="B18" s="60"/>
      <c r="C18" s="60"/>
      <c r="D18" s="60"/>
      <c r="E18" s="60"/>
      <c r="F18" s="60"/>
      <c r="G18" s="60"/>
      <c r="H18" s="60"/>
      <c r="I18" s="60"/>
    </row>
    <row r="19" spans="1:25" ht="16.5" x14ac:dyDescent="0.25">
      <c r="A19" s="87" t="s">
        <v>40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</row>
    <row r="22" spans="1:25" x14ac:dyDescent="0.25">
      <c r="A22" s="71" t="s">
        <v>46</v>
      </c>
      <c r="B22" s="71" t="s">
        <v>67</v>
      </c>
      <c r="C22" s="71"/>
      <c r="D22" s="71" t="s">
        <v>48</v>
      </c>
      <c r="E22" s="72"/>
    </row>
    <row r="23" spans="1:25" x14ac:dyDescent="0.25">
      <c r="A23" s="71"/>
      <c r="B23" s="71"/>
      <c r="C23" s="71"/>
      <c r="D23" s="71"/>
      <c r="E23" s="72"/>
      <c r="I23" s="64"/>
    </row>
    <row r="24" spans="1:25" x14ac:dyDescent="0.25">
      <c r="A24" s="71" t="s">
        <v>49</v>
      </c>
      <c r="B24" s="71" t="s">
        <v>50</v>
      </c>
      <c r="C24" s="71"/>
      <c r="D24" s="71" t="s">
        <v>48</v>
      </c>
      <c r="E24" s="72"/>
      <c r="F24" s="71"/>
    </row>
    <row r="28" spans="1:25" x14ac:dyDescent="0.25"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</row>
  </sheetData>
  <mergeCells count="15">
    <mergeCell ref="H9:H13"/>
    <mergeCell ref="A19:O19"/>
    <mergeCell ref="D28:Y28"/>
    <mergeCell ref="A2:O2"/>
    <mergeCell ref="A3:O3"/>
    <mergeCell ref="A4:O4"/>
    <mergeCell ref="A6:A7"/>
    <mergeCell ref="B6:B7"/>
    <mergeCell ref="C6:C7"/>
    <mergeCell ref="D6:D7"/>
    <mergeCell ref="E6:E7"/>
    <mergeCell ref="F6:F7"/>
    <mergeCell ref="G6:G7"/>
    <mergeCell ref="H6:H7"/>
    <mergeCell ref="I6:S6"/>
  </mergeCells>
  <pageMargins left="0.59055118110236227" right="0.39370078740157483" top="0.39370078740157483" bottom="0.39370078740157483" header="0" footer="0"/>
  <pageSetup paperSize="9" scale="83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3A72E-D494-460E-AB74-276B6E02BEE8}">
  <dimension ref="A2:U24"/>
  <sheetViews>
    <sheetView zoomScale="85" zoomScaleNormal="85" workbookViewId="0">
      <selection activeCell="G28" sqref="G28"/>
    </sheetView>
  </sheetViews>
  <sheetFormatPr defaultRowHeight="15" x14ac:dyDescent="0.25"/>
  <cols>
    <col min="1" max="1" width="14.7109375" customWidth="1"/>
    <col min="2" max="2" width="12.28515625" customWidth="1"/>
    <col min="3" max="3" width="10.7109375" customWidth="1"/>
    <col min="4" max="4" width="12.5703125" customWidth="1"/>
    <col min="5" max="5" width="10.7109375" customWidth="1"/>
    <col min="6" max="6" width="11.85546875" customWidth="1"/>
    <col min="7" max="8" width="12.7109375" customWidth="1"/>
  </cols>
  <sheetData>
    <row r="2" spans="1:21" ht="18.75" x14ac:dyDescent="0.3">
      <c r="A2" s="85" t="s">
        <v>12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21" ht="18.75" x14ac:dyDescent="0.3">
      <c r="A3" s="85" t="s">
        <v>13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21" ht="18.75" customHeight="1" x14ac:dyDescent="0.3">
      <c r="A4" s="86" t="s">
        <v>80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</row>
    <row r="6" spans="1:21" ht="15" customHeight="1" x14ac:dyDescent="0.25">
      <c r="A6" s="89" t="s">
        <v>19</v>
      </c>
      <c r="B6" s="89" t="s">
        <v>85</v>
      </c>
      <c r="C6" s="89" t="s">
        <v>59</v>
      </c>
      <c r="D6" s="89" t="s">
        <v>86</v>
      </c>
      <c r="E6" s="89" t="s">
        <v>87</v>
      </c>
      <c r="F6" s="89" t="s">
        <v>88</v>
      </c>
      <c r="G6" s="89" t="s">
        <v>37</v>
      </c>
      <c r="H6" s="89" t="s">
        <v>38</v>
      </c>
      <c r="I6" s="91" t="s">
        <v>45</v>
      </c>
      <c r="J6" s="91"/>
      <c r="K6" s="91"/>
      <c r="L6" s="91"/>
      <c r="M6" s="91"/>
      <c r="N6" s="91"/>
      <c r="O6" s="91"/>
      <c r="P6" s="91"/>
      <c r="Q6" s="91"/>
      <c r="R6" s="91"/>
      <c r="S6" s="93"/>
      <c r="T6" s="83"/>
      <c r="U6" s="81"/>
    </row>
    <row r="7" spans="1:21" ht="41.25" customHeight="1" x14ac:dyDescent="0.25">
      <c r="A7" s="90"/>
      <c r="B7" s="90"/>
      <c r="C7" s="90"/>
      <c r="D7" s="90"/>
      <c r="E7" s="90"/>
      <c r="F7" s="90"/>
      <c r="G7" s="90"/>
      <c r="H7" s="90"/>
      <c r="I7" s="73">
        <v>2009</v>
      </c>
      <c r="J7" s="73">
        <v>2010</v>
      </c>
      <c r="K7" s="73">
        <v>2011</v>
      </c>
      <c r="L7" s="73">
        <v>2012</v>
      </c>
      <c r="M7" s="73">
        <v>2013</v>
      </c>
      <c r="N7" s="73">
        <v>2014</v>
      </c>
      <c r="O7" s="73">
        <v>2015</v>
      </c>
      <c r="P7" s="73">
        <v>2016</v>
      </c>
      <c r="Q7" s="73">
        <v>2017</v>
      </c>
      <c r="R7" s="73">
        <v>2018</v>
      </c>
      <c r="S7" s="73">
        <v>2019</v>
      </c>
      <c r="T7" s="82">
        <v>2020</v>
      </c>
      <c r="U7" s="82">
        <v>2021</v>
      </c>
    </row>
    <row r="8" spans="1:21" x14ac:dyDescent="0.25">
      <c r="A8" s="62"/>
      <c r="B8" s="69">
        <v>1</v>
      </c>
      <c r="C8" s="69"/>
      <c r="D8" s="69">
        <v>2</v>
      </c>
      <c r="E8" s="69">
        <v>3</v>
      </c>
      <c r="F8" s="69">
        <v>4</v>
      </c>
      <c r="G8" s="69">
        <v>5</v>
      </c>
      <c r="H8" s="69">
        <v>6</v>
      </c>
      <c r="I8" s="73">
        <v>7</v>
      </c>
      <c r="J8" s="73">
        <v>8</v>
      </c>
      <c r="K8" s="61">
        <v>9</v>
      </c>
      <c r="L8" s="61">
        <v>10</v>
      </c>
      <c r="M8" s="61">
        <v>11</v>
      </c>
      <c r="N8" s="61">
        <v>12</v>
      </c>
      <c r="O8" s="61">
        <v>13</v>
      </c>
      <c r="P8" s="61">
        <v>14</v>
      </c>
      <c r="Q8" s="61">
        <v>15</v>
      </c>
      <c r="R8" s="61">
        <v>16</v>
      </c>
      <c r="S8" s="61">
        <v>17</v>
      </c>
      <c r="T8" s="61">
        <v>18</v>
      </c>
      <c r="U8" s="61">
        <v>19</v>
      </c>
    </row>
    <row r="9" spans="1:21" x14ac:dyDescent="0.25">
      <c r="A9" s="63" t="s">
        <v>28</v>
      </c>
      <c r="B9" s="43">
        <v>736.99</v>
      </c>
      <c r="C9" s="43"/>
      <c r="D9" s="70">
        <v>462.07663195404888</v>
      </c>
      <c r="E9" s="79">
        <v>2.3610000000000002</v>
      </c>
      <c r="F9" s="70">
        <f>(D9-E9)*1.055</f>
        <v>484.99999171152155</v>
      </c>
      <c r="G9" s="68">
        <f>F9/B9*100</f>
        <v>65.808218796933687</v>
      </c>
      <c r="H9" s="88">
        <f>(G9+G10+G11+G12+G13)/5</f>
        <v>59.650176979066828</v>
      </c>
      <c r="I9" s="42">
        <v>48.95</v>
      </c>
      <c r="J9" s="42">
        <v>6.1</v>
      </c>
      <c r="K9" s="42">
        <v>56.95</v>
      </c>
      <c r="L9" s="42">
        <v>22.26</v>
      </c>
      <c r="M9" s="42">
        <v>17.170000000000002</v>
      </c>
      <c r="N9" s="42">
        <v>15.085000000000001</v>
      </c>
      <c r="O9" s="42">
        <v>18.23</v>
      </c>
      <c r="P9" s="42">
        <f>21.098+0.38</f>
        <v>21.477999999999998</v>
      </c>
      <c r="Q9" s="42">
        <v>1.2769999999999999</v>
      </c>
      <c r="R9" s="42">
        <v>1.5249999999999999</v>
      </c>
      <c r="S9" s="42">
        <v>0.46100000000000002</v>
      </c>
      <c r="T9" s="79">
        <v>1.1459999999999999</v>
      </c>
      <c r="U9" s="79">
        <v>2.3610000000000002</v>
      </c>
    </row>
    <row r="10" spans="1:21" x14ac:dyDescent="0.25">
      <c r="A10" s="63" t="s">
        <v>30</v>
      </c>
      <c r="B10" s="43">
        <v>2185.88</v>
      </c>
      <c r="C10" s="43"/>
      <c r="D10" s="70">
        <v>1404.5956123766553</v>
      </c>
      <c r="E10" s="79">
        <v>8.6839999999999993</v>
      </c>
      <c r="F10" s="70">
        <f t="shared" ref="F10:F13" si="0">(D10-E10)*1.055</f>
        <v>1472.6867510573713</v>
      </c>
      <c r="G10" s="68">
        <f t="shared" ref="G10:G13" si="1">F10/B10*100</f>
        <v>67.372717214914417</v>
      </c>
      <c r="H10" s="88"/>
      <c r="I10" s="43">
        <v>197.45</v>
      </c>
      <c r="J10" s="43">
        <v>29.7</v>
      </c>
      <c r="K10" s="42">
        <v>100.94</v>
      </c>
      <c r="L10" s="42">
        <v>43.03</v>
      </c>
      <c r="M10" s="42">
        <v>64.739999999999995</v>
      </c>
      <c r="N10" s="42">
        <v>55.587000000000003</v>
      </c>
      <c r="O10" s="42">
        <v>44.09</v>
      </c>
      <c r="P10" s="42">
        <f>28.854+4.031</f>
        <v>32.884999999999998</v>
      </c>
      <c r="Q10" s="42">
        <v>4.6929999999999996</v>
      </c>
      <c r="R10" s="42">
        <v>8.0259999999999998</v>
      </c>
      <c r="S10" s="42">
        <v>6.9850000000000003</v>
      </c>
      <c r="T10" s="79">
        <v>8.64</v>
      </c>
      <c r="U10" s="79">
        <v>8.6839999999999993</v>
      </c>
    </row>
    <row r="11" spans="1:21" x14ac:dyDescent="0.25">
      <c r="A11" s="63" t="s">
        <v>29</v>
      </c>
      <c r="B11" s="43">
        <v>44.31</v>
      </c>
      <c r="C11" s="43"/>
      <c r="D11" s="70">
        <v>13.91</v>
      </c>
      <c r="E11" s="79">
        <v>0.315</v>
      </c>
      <c r="F11" s="70">
        <f t="shared" si="0"/>
        <v>14.342725</v>
      </c>
      <c r="G11" s="68">
        <f t="shared" si="1"/>
        <v>32.36904761904762</v>
      </c>
      <c r="H11" s="88"/>
      <c r="I11" s="42"/>
      <c r="J11" s="42">
        <v>0.4</v>
      </c>
      <c r="K11" s="42">
        <v>1.87</v>
      </c>
      <c r="L11" s="42">
        <v>2.0499999999999998</v>
      </c>
      <c r="M11" s="42">
        <v>2.56</v>
      </c>
      <c r="N11" s="42">
        <v>1.0900000000000001</v>
      </c>
      <c r="O11" s="42">
        <v>0.31</v>
      </c>
      <c r="P11" s="42">
        <v>0.155</v>
      </c>
      <c r="Q11" s="42"/>
      <c r="R11" s="42">
        <v>1.4E-2</v>
      </c>
      <c r="S11" s="42"/>
      <c r="T11" s="79">
        <v>0.4</v>
      </c>
      <c r="U11" s="79">
        <v>0.315</v>
      </c>
    </row>
    <row r="12" spans="1:21" x14ac:dyDescent="0.25">
      <c r="A12" s="63" t="s">
        <v>31</v>
      </c>
      <c r="B12" s="43">
        <v>61.79</v>
      </c>
      <c r="C12" s="43">
        <f>67.46-B12</f>
        <v>5.6699999999999946</v>
      </c>
      <c r="D12" s="70">
        <v>40.889044991930078</v>
      </c>
      <c r="E12" s="68">
        <v>0</v>
      </c>
      <c r="F12" s="70">
        <f t="shared" si="0"/>
        <v>43.13794246648623</v>
      </c>
      <c r="G12" s="68">
        <f t="shared" si="1"/>
        <v>69.813792630662292</v>
      </c>
      <c r="H12" s="88"/>
      <c r="I12" s="42"/>
      <c r="J12" s="42">
        <v>0.2</v>
      </c>
      <c r="K12" s="42"/>
      <c r="L12" s="42">
        <v>0.25</v>
      </c>
      <c r="M12" s="42"/>
      <c r="N12" s="42"/>
      <c r="O12" s="42"/>
      <c r="P12" s="42"/>
      <c r="Q12" s="42"/>
      <c r="R12" s="42"/>
      <c r="S12" s="42"/>
      <c r="T12" s="68">
        <v>0.38</v>
      </c>
      <c r="U12" s="68"/>
    </row>
    <row r="13" spans="1:21" ht="51" x14ac:dyDescent="0.25">
      <c r="A13" s="63" t="s">
        <v>36</v>
      </c>
      <c r="B13" s="43">
        <v>1054</v>
      </c>
      <c r="C13" s="43">
        <f>1075-B13</f>
        <v>21</v>
      </c>
      <c r="D13" s="70">
        <v>638.27499999999998</v>
      </c>
      <c r="E13" s="68">
        <v>10</v>
      </c>
      <c r="F13" s="70">
        <f t="shared" si="0"/>
        <v>662.83012499999995</v>
      </c>
      <c r="G13" s="68">
        <f t="shared" si="1"/>
        <v>62.887108633776087</v>
      </c>
      <c r="H13" s="88"/>
      <c r="I13" s="42">
        <v>35</v>
      </c>
      <c r="J13" s="42">
        <v>39</v>
      </c>
      <c r="K13" s="42">
        <v>119</v>
      </c>
      <c r="L13" s="42">
        <v>5</v>
      </c>
      <c r="M13" s="42">
        <v>27</v>
      </c>
      <c r="N13" s="42">
        <v>14</v>
      </c>
      <c r="O13" s="42">
        <v>7</v>
      </c>
      <c r="P13" s="42">
        <v>8</v>
      </c>
      <c r="Q13" s="42"/>
      <c r="R13" s="42"/>
      <c r="S13" s="42">
        <v>1</v>
      </c>
      <c r="T13" s="68">
        <v>38</v>
      </c>
      <c r="U13" s="68">
        <v>10</v>
      </c>
    </row>
    <row r="14" spans="1:21" x14ac:dyDescent="0.25">
      <c r="A14" s="74" t="s">
        <v>53</v>
      </c>
      <c r="B14" s="64"/>
      <c r="C14" s="75"/>
      <c r="D14" s="76"/>
      <c r="E14" s="77"/>
      <c r="F14" s="77"/>
      <c r="G14" s="77">
        <f>SUM(G9,G11,G13)/3</f>
        <v>53.688125016585794</v>
      </c>
      <c r="H14" s="78"/>
      <c r="I14" s="78"/>
      <c r="J14" s="78"/>
      <c r="K14" s="78"/>
      <c r="L14" s="78"/>
      <c r="M14" s="78"/>
      <c r="N14" s="78"/>
    </row>
    <row r="15" spans="1:21" x14ac:dyDescent="0.25">
      <c r="A15" s="74" t="s">
        <v>54</v>
      </c>
      <c r="B15" s="64"/>
      <c r="C15" s="75"/>
      <c r="D15" s="76"/>
      <c r="E15" s="77"/>
      <c r="F15" s="77"/>
      <c r="G15" s="77">
        <f>SUM(G10,G12)/2</f>
        <v>68.593254922788361</v>
      </c>
      <c r="H15" s="78"/>
      <c r="I15" s="78"/>
      <c r="J15" s="78"/>
      <c r="K15" s="78"/>
      <c r="L15" s="78"/>
      <c r="M15" s="78"/>
      <c r="N15" s="78"/>
    </row>
    <row r="17" spans="1:15" ht="39" x14ac:dyDescent="0.25">
      <c r="A17" s="67" t="s">
        <v>35</v>
      </c>
      <c r="B17" s="60"/>
      <c r="C17" s="60"/>
      <c r="D17" s="60"/>
      <c r="E17" s="60"/>
      <c r="F17" s="60"/>
      <c r="G17" s="60"/>
      <c r="H17" s="60"/>
      <c r="I17" s="60"/>
    </row>
    <row r="18" spans="1:15" x14ac:dyDescent="0.25">
      <c r="A18" s="60"/>
      <c r="B18" s="60"/>
      <c r="C18" s="60"/>
      <c r="D18" s="60"/>
      <c r="E18" s="60"/>
      <c r="F18" s="60"/>
      <c r="G18" s="60"/>
      <c r="H18" s="60"/>
      <c r="I18" s="60"/>
    </row>
    <row r="19" spans="1:15" ht="16.5" x14ac:dyDescent="0.25">
      <c r="A19" s="87" t="s">
        <v>40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</row>
    <row r="22" spans="1:15" ht="26.25" x14ac:dyDescent="0.25">
      <c r="A22" s="84" t="s">
        <v>81</v>
      </c>
      <c r="B22" s="71" t="s">
        <v>82</v>
      </c>
      <c r="C22" s="71"/>
      <c r="D22" s="71" t="s">
        <v>48</v>
      </c>
      <c r="E22" s="72"/>
    </row>
    <row r="23" spans="1:15" x14ac:dyDescent="0.25">
      <c r="A23" s="71"/>
      <c r="B23" s="71"/>
      <c r="C23" s="71"/>
      <c r="D23" s="71"/>
      <c r="E23" s="72"/>
      <c r="I23" s="64"/>
    </row>
    <row r="24" spans="1:15" x14ac:dyDescent="0.25">
      <c r="A24" s="71" t="s">
        <v>49</v>
      </c>
      <c r="B24" s="71" t="s">
        <v>50</v>
      </c>
      <c r="C24" s="71"/>
      <c r="D24" s="71" t="s">
        <v>48</v>
      </c>
      <c r="E24" s="72"/>
      <c r="F24" s="71"/>
    </row>
  </sheetData>
  <mergeCells count="14">
    <mergeCell ref="H6:H7"/>
    <mergeCell ref="I6:S6"/>
    <mergeCell ref="H9:H13"/>
    <mergeCell ref="A19:O19"/>
    <mergeCell ref="A2:O2"/>
    <mergeCell ref="A3:O3"/>
    <mergeCell ref="A4:O4"/>
    <mergeCell ref="A6:A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F6B70-4CDF-48CA-8DB3-1C6A90105482}">
  <dimension ref="A2:V24"/>
  <sheetViews>
    <sheetView zoomScale="115" zoomScaleNormal="115" workbookViewId="0">
      <selection activeCell="H14" sqref="H14"/>
    </sheetView>
  </sheetViews>
  <sheetFormatPr defaultRowHeight="15" x14ac:dyDescent="0.25"/>
  <cols>
    <col min="1" max="1" width="14.7109375" customWidth="1"/>
    <col min="2" max="2" width="12.28515625" customWidth="1"/>
    <col min="3" max="3" width="10.7109375" hidden="1" customWidth="1"/>
    <col min="4" max="4" width="12.5703125" customWidth="1"/>
    <col min="5" max="5" width="10.7109375" customWidth="1"/>
    <col min="6" max="6" width="11.85546875" customWidth="1"/>
    <col min="7" max="8" width="12.7109375" customWidth="1"/>
  </cols>
  <sheetData>
    <row r="2" spans="1:22" ht="18.75" x14ac:dyDescent="0.3">
      <c r="A2" s="85" t="s">
        <v>12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22" ht="18.75" x14ac:dyDescent="0.3">
      <c r="A3" s="85" t="s">
        <v>13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22" ht="18.75" customHeight="1" x14ac:dyDescent="0.3">
      <c r="A4" s="86" t="s">
        <v>93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</row>
    <row r="6" spans="1:22" ht="15" customHeight="1" x14ac:dyDescent="0.25">
      <c r="A6" s="89" t="s">
        <v>19</v>
      </c>
      <c r="B6" s="89" t="s">
        <v>89</v>
      </c>
      <c r="C6" s="89" t="s">
        <v>59</v>
      </c>
      <c r="D6" s="89" t="s">
        <v>90</v>
      </c>
      <c r="E6" s="89" t="s">
        <v>91</v>
      </c>
      <c r="F6" s="89" t="s">
        <v>92</v>
      </c>
      <c r="G6" s="89" t="s">
        <v>37</v>
      </c>
      <c r="H6" s="89" t="s">
        <v>38</v>
      </c>
      <c r="I6" s="93" t="s">
        <v>45</v>
      </c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5"/>
    </row>
    <row r="7" spans="1:22" ht="50.25" customHeight="1" x14ac:dyDescent="0.25">
      <c r="A7" s="90"/>
      <c r="B7" s="90"/>
      <c r="C7" s="90"/>
      <c r="D7" s="90"/>
      <c r="E7" s="90"/>
      <c r="F7" s="90"/>
      <c r="G7" s="90"/>
      <c r="H7" s="90"/>
      <c r="I7" s="73">
        <v>2009</v>
      </c>
      <c r="J7" s="73">
        <v>2010</v>
      </c>
      <c r="K7" s="73">
        <v>2011</v>
      </c>
      <c r="L7" s="73">
        <v>2012</v>
      </c>
      <c r="M7" s="73">
        <v>2013</v>
      </c>
      <c r="N7" s="73">
        <v>2014</v>
      </c>
      <c r="O7" s="73">
        <v>2015</v>
      </c>
      <c r="P7" s="73">
        <v>2016</v>
      </c>
      <c r="Q7" s="73">
        <v>2017</v>
      </c>
      <c r="R7" s="73">
        <v>2018</v>
      </c>
      <c r="S7" s="73">
        <v>2019</v>
      </c>
      <c r="T7" s="82">
        <v>2020</v>
      </c>
      <c r="U7" s="82">
        <v>2021</v>
      </c>
      <c r="V7" s="82">
        <v>2022</v>
      </c>
    </row>
    <row r="8" spans="1:22" x14ac:dyDescent="0.25">
      <c r="A8" s="62"/>
      <c r="B8" s="69">
        <v>1</v>
      </c>
      <c r="C8" s="69"/>
      <c r="D8" s="69">
        <v>2</v>
      </c>
      <c r="E8" s="69">
        <v>3</v>
      </c>
      <c r="F8" s="69">
        <v>4</v>
      </c>
      <c r="G8" s="69">
        <v>5</v>
      </c>
      <c r="H8" s="69">
        <v>6</v>
      </c>
      <c r="I8" s="73">
        <v>7</v>
      </c>
      <c r="J8" s="73">
        <v>8</v>
      </c>
      <c r="K8" s="61">
        <v>9</v>
      </c>
      <c r="L8" s="61">
        <v>10</v>
      </c>
      <c r="M8" s="61">
        <v>11</v>
      </c>
      <c r="N8" s="61">
        <v>12</v>
      </c>
      <c r="O8" s="61">
        <v>13</v>
      </c>
      <c r="P8" s="61">
        <v>14</v>
      </c>
      <c r="Q8" s="61">
        <v>15</v>
      </c>
      <c r="R8" s="61">
        <v>16</v>
      </c>
      <c r="S8" s="61">
        <v>17</v>
      </c>
      <c r="T8" s="61">
        <v>18</v>
      </c>
      <c r="U8" s="61">
        <v>19</v>
      </c>
      <c r="V8" s="61">
        <v>20</v>
      </c>
    </row>
    <row r="9" spans="1:22" x14ac:dyDescent="0.25">
      <c r="A9" s="63" t="s">
        <v>28</v>
      </c>
      <c r="B9" s="43">
        <v>732.68399999999997</v>
      </c>
      <c r="C9" s="43"/>
      <c r="D9" s="70">
        <v>482.16628981012553</v>
      </c>
      <c r="E9" s="43">
        <v>2.42</v>
      </c>
      <c r="F9" s="70">
        <f>(D9-E9)*1.055</f>
        <v>506.1323357496824</v>
      </c>
      <c r="G9" s="68">
        <f>F9/B9*100</f>
        <v>69.079212286563163</v>
      </c>
      <c r="H9" s="88">
        <f>(G9+G10+G11+G12+G13)/5</f>
        <v>62.105292859127886</v>
      </c>
      <c r="I9" s="42">
        <v>48.95</v>
      </c>
      <c r="J9" s="42">
        <v>6.1</v>
      </c>
      <c r="K9" s="42">
        <v>56.95</v>
      </c>
      <c r="L9" s="42">
        <v>22.26</v>
      </c>
      <c r="M9" s="42">
        <v>17.170000000000002</v>
      </c>
      <c r="N9" s="42">
        <v>15.085000000000001</v>
      </c>
      <c r="O9" s="42">
        <v>18.23</v>
      </c>
      <c r="P9" s="42">
        <f>21.098+0.38</f>
        <v>21.477999999999998</v>
      </c>
      <c r="Q9" s="42">
        <v>1.2769999999999999</v>
      </c>
      <c r="R9" s="42">
        <v>1.5249999999999999</v>
      </c>
      <c r="S9" s="42">
        <v>0.46100000000000002</v>
      </c>
      <c r="T9" s="79">
        <v>1.1459999999999999</v>
      </c>
      <c r="U9" s="79">
        <v>2.3610000000000002</v>
      </c>
      <c r="V9" s="43">
        <v>2.42</v>
      </c>
    </row>
    <row r="10" spans="1:22" x14ac:dyDescent="0.25">
      <c r="A10" s="63" t="s">
        <v>30</v>
      </c>
      <c r="B10" s="43">
        <v>2185.8829999999998</v>
      </c>
      <c r="C10" s="43"/>
      <c r="D10" s="70">
        <v>1472.6887722388876</v>
      </c>
      <c r="E10" s="43">
        <v>17.47</v>
      </c>
      <c r="F10" s="70">
        <f t="shared" ref="F10:F13" si="0">(D10-E10)*1.055</f>
        <v>1535.2558047120262</v>
      </c>
      <c r="G10" s="68">
        <f t="shared" ref="G10:G13" si="1">F10/B10*100</f>
        <v>70.235040242868735</v>
      </c>
      <c r="H10" s="88"/>
      <c r="I10" s="43">
        <v>197.45</v>
      </c>
      <c r="J10" s="43">
        <v>29.7</v>
      </c>
      <c r="K10" s="42">
        <v>100.94</v>
      </c>
      <c r="L10" s="42">
        <v>43.03</v>
      </c>
      <c r="M10" s="42">
        <v>64.739999999999995</v>
      </c>
      <c r="N10" s="42">
        <v>55.587000000000003</v>
      </c>
      <c r="O10" s="42">
        <v>44.09</v>
      </c>
      <c r="P10" s="42">
        <f>28.854+4.031</f>
        <v>32.884999999999998</v>
      </c>
      <c r="Q10" s="42">
        <v>4.6929999999999996</v>
      </c>
      <c r="R10" s="42">
        <v>8.0259999999999998</v>
      </c>
      <c r="S10" s="42">
        <v>6.9850000000000003</v>
      </c>
      <c r="T10" s="79">
        <v>8.64</v>
      </c>
      <c r="U10" s="79">
        <v>8.6839999999999993</v>
      </c>
      <c r="V10" s="43">
        <v>17.47</v>
      </c>
    </row>
    <row r="11" spans="1:22" x14ac:dyDescent="0.25">
      <c r="A11" s="63" t="s">
        <v>29</v>
      </c>
      <c r="B11" s="43">
        <v>44.316000000000003</v>
      </c>
      <c r="C11" s="43"/>
      <c r="D11" s="70">
        <v>13.91</v>
      </c>
      <c r="E11" s="43">
        <v>0</v>
      </c>
      <c r="F11" s="70">
        <f t="shared" si="0"/>
        <v>14.675049999999999</v>
      </c>
      <c r="G11" s="68">
        <f t="shared" si="1"/>
        <v>33.114563588771546</v>
      </c>
      <c r="H11" s="88"/>
      <c r="I11" s="42"/>
      <c r="J11" s="42">
        <v>0.4</v>
      </c>
      <c r="K11" s="42">
        <v>1.87</v>
      </c>
      <c r="L11" s="42">
        <v>2.0499999999999998</v>
      </c>
      <c r="M11" s="42">
        <v>2.56</v>
      </c>
      <c r="N11" s="42">
        <v>1.0900000000000001</v>
      </c>
      <c r="O11" s="42">
        <v>0.31</v>
      </c>
      <c r="P11" s="42">
        <v>0.155</v>
      </c>
      <c r="Q11" s="42"/>
      <c r="R11" s="42">
        <v>1.4E-2</v>
      </c>
      <c r="S11" s="42"/>
      <c r="T11" s="79">
        <v>0.4</v>
      </c>
      <c r="U11" s="79">
        <v>0.315</v>
      </c>
      <c r="V11" s="43">
        <v>0</v>
      </c>
    </row>
    <row r="12" spans="1:22" x14ac:dyDescent="0.25">
      <c r="A12" s="63" t="s">
        <v>31</v>
      </c>
      <c r="B12" s="43">
        <v>61.798000000000002</v>
      </c>
      <c r="C12" s="43">
        <f>67.46-B12</f>
        <v>5.6619999999999919</v>
      </c>
      <c r="D12" s="70">
        <v>43.143527569896683</v>
      </c>
      <c r="E12" s="43">
        <v>0</v>
      </c>
      <c r="F12" s="70">
        <f t="shared" si="0"/>
        <v>45.516421586241002</v>
      </c>
      <c r="G12" s="68">
        <f t="shared" si="1"/>
        <v>73.653551225348707</v>
      </c>
      <c r="H12" s="88"/>
      <c r="I12" s="42"/>
      <c r="J12" s="42">
        <v>0.2</v>
      </c>
      <c r="K12" s="42"/>
      <c r="L12" s="42">
        <v>0.25</v>
      </c>
      <c r="M12" s="42"/>
      <c r="N12" s="42"/>
      <c r="O12" s="42"/>
      <c r="P12" s="42"/>
      <c r="Q12" s="42"/>
      <c r="R12" s="42"/>
      <c r="S12" s="42"/>
      <c r="T12" s="68">
        <v>0.38</v>
      </c>
      <c r="U12" s="68"/>
      <c r="V12" s="43">
        <v>0</v>
      </c>
    </row>
    <row r="13" spans="1:22" ht="51" x14ac:dyDescent="0.25">
      <c r="A13" s="63" t="s">
        <v>36</v>
      </c>
      <c r="B13" s="43">
        <v>1054</v>
      </c>
      <c r="C13" s="43">
        <f>1075-B13</f>
        <v>21</v>
      </c>
      <c r="D13" s="70">
        <v>662.83012499999995</v>
      </c>
      <c r="E13" s="43">
        <v>19</v>
      </c>
      <c r="F13" s="70">
        <f t="shared" si="0"/>
        <v>679.24078187499993</v>
      </c>
      <c r="G13" s="68">
        <f t="shared" si="1"/>
        <v>64.444096952087278</v>
      </c>
      <c r="H13" s="88"/>
      <c r="I13" s="42">
        <v>35</v>
      </c>
      <c r="J13" s="42">
        <v>39</v>
      </c>
      <c r="K13" s="42">
        <v>119</v>
      </c>
      <c r="L13" s="42">
        <v>5</v>
      </c>
      <c r="M13" s="42">
        <v>27</v>
      </c>
      <c r="N13" s="42">
        <v>14</v>
      </c>
      <c r="O13" s="42">
        <v>7</v>
      </c>
      <c r="P13" s="42">
        <v>8</v>
      </c>
      <c r="Q13" s="42"/>
      <c r="R13" s="42"/>
      <c r="S13" s="42">
        <v>1</v>
      </c>
      <c r="T13" s="43">
        <v>38</v>
      </c>
      <c r="U13" s="43">
        <v>10</v>
      </c>
      <c r="V13" s="43">
        <v>19</v>
      </c>
    </row>
    <row r="14" spans="1:22" x14ac:dyDescent="0.25">
      <c r="A14" s="74" t="s">
        <v>53</v>
      </c>
      <c r="B14" s="64"/>
      <c r="C14" s="75"/>
      <c r="D14" s="76"/>
      <c r="E14" s="77"/>
      <c r="F14" s="77"/>
      <c r="G14" s="77">
        <f>SUM(G9,G11,G13)/3</f>
        <v>55.545957609140657</v>
      </c>
      <c r="H14" s="78"/>
      <c r="I14" s="78"/>
      <c r="J14" s="78"/>
      <c r="K14" s="78"/>
      <c r="L14" s="78"/>
      <c r="M14" s="78"/>
      <c r="N14" s="78"/>
    </row>
    <row r="15" spans="1:22" x14ac:dyDescent="0.25">
      <c r="A15" s="74" t="s">
        <v>54</v>
      </c>
      <c r="B15" s="64"/>
      <c r="C15" s="75"/>
      <c r="D15" s="76"/>
      <c r="E15" s="77"/>
      <c r="F15" s="77"/>
      <c r="G15" s="77">
        <f>SUM(G10,G12)/2</f>
        <v>71.944295734108721</v>
      </c>
      <c r="H15" s="78"/>
      <c r="I15" s="78"/>
      <c r="J15" s="78"/>
      <c r="K15" s="78"/>
      <c r="L15" s="78"/>
      <c r="M15" s="78"/>
      <c r="N15" s="78"/>
    </row>
    <row r="17" spans="1:15" ht="39" x14ac:dyDescent="0.25">
      <c r="A17" s="67" t="s">
        <v>35</v>
      </c>
      <c r="B17" s="60"/>
      <c r="C17" s="60"/>
      <c r="D17" s="60"/>
      <c r="E17" s="60"/>
      <c r="F17" s="60"/>
      <c r="G17" s="60"/>
      <c r="H17" s="60"/>
      <c r="I17" s="60"/>
    </row>
    <row r="18" spans="1:15" x14ac:dyDescent="0.25">
      <c r="A18" s="60"/>
      <c r="B18" s="60"/>
      <c r="C18" s="60"/>
      <c r="D18" s="60"/>
      <c r="E18" s="60"/>
      <c r="F18" s="60"/>
      <c r="G18" s="60"/>
      <c r="H18" s="60"/>
      <c r="I18" s="60"/>
    </row>
    <row r="19" spans="1:15" ht="16.5" x14ac:dyDescent="0.25">
      <c r="A19" s="87" t="s">
        <v>40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</row>
    <row r="22" spans="1:15" x14ac:dyDescent="0.25">
      <c r="A22" s="84" t="s">
        <v>46</v>
      </c>
      <c r="B22" s="71" t="s">
        <v>83</v>
      </c>
      <c r="C22" s="71"/>
      <c r="D22" s="71" t="s">
        <v>48</v>
      </c>
      <c r="E22" s="72"/>
    </row>
    <row r="23" spans="1:15" x14ac:dyDescent="0.25">
      <c r="A23" s="71"/>
      <c r="B23" s="71"/>
      <c r="C23" s="71"/>
      <c r="D23" s="71"/>
      <c r="E23" s="72"/>
      <c r="I23" s="64"/>
    </row>
    <row r="24" spans="1:15" x14ac:dyDescent="0.25">
      <c r="A24" s="71" t="s">
        <v>49</v>
      </c>
      <c r="B24" s="71" t="s">
        <v>84</v>
      </c>
      <c r="C24" s="71"/>
      <c r="D24" s="71" t="s">
        <v>48</v>
      </c>
      <c r="E24" s="72"/>
      <c r="F24" s="71"/>
    </row>
  </sheetData>
  <mergeCells count="14">
    <mergeCell ref="H6:H7"/>
    <mergeCell ref="H9:H13"/>
    <mergeCell ref="A19:O19"/>
    <mergeCell ref="I6:V6"/>
    <mergeCell ref="A2:O2"/>
    <mergeCell ref="A3:O3"/>
    <mergeCell ref="A4:O4"/>
    <mergeCell ref="A6:A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D1ACA-3259-4A62-B2B8-E17F5E542698}">
  <dimension ref="A2:W24"/>
  <sheetViews>
    <sheetView tabSelected="1" zoomScale="115" zoomScaleNormal="115" workbookViewId="0">
      <selection activeCell="I13" sqref="I13"/>
    </sheetView>
  </sheetViews>
  <sheetFormatPr defaultRowHeight="15" x14ac:dyDescent="0.25"/>
  <cols>
    <col min="1" max="1" width="14.7109375" customWidth="1"/>
    <col min="2" max="2" width="12.28515625" customWidth="1"/>
    <col min="3" max="3" width="10.7109375" hidden="1" customWidth="1"/>
    <col min="4" max="4" width="12.5703125" customWidth="1"/>
    <col min="5" max="5" width="10.7109375" customWidth="1"/>
    <col min="6" max="6" width="11.85546875" customWidth="1"/>
    <col min="7" max="8" width="12.7109375" customWidth="1"/>
  </cols>
  <sheetData>
    <row r="2" spans="1:23" ht="18.75" x14ac:dyDescent="0.3">
      <c r="A2" s="85" t="s">
        <v>12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23" ht="18.75" x14ac:dyDescent="0.3">
      <c r="A3" s="85" t="s">
        <v>13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23" ht="18.75" customHeight="1" x14ac:dyDescent="0.3">
      <c r="A4" s="86" t="s">
        <v>98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</row>
    <row r="6" spans="1:23" ht="15" customHeight="1" x14ac:dyDescent="0.25">
      <c r="A6" s="89" t="s">
        <v>19</v>
      </c>
      <c r="B6" s="89" t="s">
        <v>94</v>
      </c>
      <c r="C6" s="89" t="s">
        <v>59</v>
      </c>
      <c r="D6" s="89" t="s">
        <v>96</v>
      </c>
      <c r="E6" s="89" t="s">
        <v>95</v>
      </c>
      <c r="F6" s="89" t="s">
        <v>97</v>
      </c>
      <c r="G6" s="89" t="s">
        <v>37</v>
      </c>
      <c r="H6" s="89" t="s">
        <v>38</v>
      </c>
      <c r="I6" s="93" t="s">
        <v>45</v>
      </c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5"/>
    </row>
    <row r="7" spans="1:23" ht="50.25" customHeight="1" x14ac:dyDescent="0.25">
      <c r="A7" s="90"/>
      <c r="B7" s="90"/>
      <c r="C7" s="90"/>
      <c r="D7" s="90"/>
      <c r="E7" s="90"/>
      <c r="F7" s="90"/>
      <c r="G7" s="90"/>
      <c r="H7" s="90"/>
      <c r="I7" s="73">
        <v>2009</v>
      </c>
      <c r="J7" s="73">
        <v>2010</v>
      </c>
      <c r="K7" s="73">
        <v>2011</v>
      </c>
      <c r="L7" s="73">
        <v>2012</v>
      </c>
      <c r="M7" s="73">
        <v>2013</v>
      </c>
      <c r="N7" s="73">
        <v>2014</v>
      </c>
      <c r="O7" s="73">
        <v>2015</v>
      </c>
      <c r="P7" s="73">
        <v>2016</v>
      </c>
      <c r="Q7" s="73">
        <v>2017</v>
      </c>
      <c r="R7" s="73">
        <v>2018</v>
      </c>
      <c r="S7" s="73">
        <v>2019</v>
      </c>
      <c r="T7" s="82">
        <v>2020</v>
      </c>
      <c r="U7" s="82">
        <v>2021</v>
      </c>
      <c r="V7" s="82">
        <v>2022</v>
      </c>
      <c r="W7" s="82">
        <v>2023</v>
      </c>
    </row>
    <row r="8" spans="1:23" x14ac:dyDescent="0.25">
      <c r="A8" s="62"/>
      <c r="B8" s="69">
        <v>1</v>
      </c>
      <c r="C8" s="69"/>
      <c r="D8" s="69">
        <v>2</v>
      </c>
      <c r="E8" s="69">
        <v>3</v>
      </c>
      <c r="F8" s="69">
        <v>4</v>
      </c>
      <c r="G8" s="69">
        <v>5</v>
      </c>
      <c r="H8" s="69">
        <v>6</v>
      </c>
      <c r="I8" s="73">
        <v>7</v>
      </c>
      <c r="J8" s="73">
        <v>8</v>
      </c>
      <c r="K8" s="61">
        <v>9</v>
      </c>
      <c r="L8" s="61">
        <v>10</v>
      </c>
      <c r="M8" s="61">
        <v>11</v>
      </c>
      <c r="N8" s="61">
        <v>12</v>
      </c>
      <c r="O8" s="61">
        <v>13</v>
      </c>
      <c r="P8" s="61">
        <v>14</v>
      </c>
      <c r="Q8" s="61">
        <v>15</v>
      </c>
      <c r="R8" s="61">
        <v>16</v>
      </c>
      <c r="S8" s="61">
        <v>17</v>
      </c>
      <c r="T8" s="61">
        <v>18</v>
      </c>
      <c r="U8" s="61">
        <v>19</v>
      </c>
      <c r="V8" s="61">
        <v>20</v>
      </c>
      <c r="W8" s="61">
        <v>21</v>
      </c>
    </row>
    <row r="9" spans="1:23" x14ac:dyDescent="0.25">
      <c r="A9" s="63" t="s">
        <v>28</v>
      </c>
      <c r="B9" s="43">
        <v>736.95</v>
      </c>
      <c r="C9" s="43"/>
      <c r="D9" s="70">
        <v>506.1323357496824</v>
      </c>
      <c r="E9" s="43">
        <v>8.65</v>
      </c>
      <c r="F9" s="70">
        <f>(D9-E9)*1.055</f>
        <v>524.84386421591489</v>
      </c>
      <c r="G9" s="68">
        <f>F9/B9*100</f>
        <v>71.218381737691132</v>
      </c>
      <c r="H9" s="88">
        <f>(G9+G10+G11+G12+G13)/5</f>
        <v>64.674188449758731</v>
      </c>
      <c r="I9" s="42">
        <v>48.95</v>
      </c>
      <c r="J9" s="42">
        <v>6.1</v>
      </c>
      <c r="K9" s="42">
        <v>56.95</v>
      </c>
      <c r="L9" s="42">
        <v>22.26</v>
      </c>
      <c r="M9" s="42">
        <v>17.170000000000002</v>
      </c>
      <c r="N9" s="42">
        <v>15.085000000000001</v>
      </c>
      <c r="O9" s="42">
        <v>18.23</v>
      </c>
      <c r="P9" s="42">
        <f>21.098+0.38</f>
        <v>21.477999999999998</v>
      </c>
      <c r="Q9" s="42">
        <v>1.2769999999999999</v>
      </c>
      <c r="R9" s="42">
        <v>1.5249999999999999</v>
      </c>
      <c r="S9" s="42">
        <v>0.46100000000000002</v>
      </c>
      <c r="T9" s="79">
        <v>1.1459999999999999</v>
      </c>
      <c r="U9" s="79">
        <v>2.3610000000000002</v>
      </c>
      <c r="V9" s="43">
        <v>2.42</v>
      </c>
      <c r="W9" s="43">
        <v>8.65</v>
      </c>
    </row>
    <row r="10" spans="1:23" x14ac:dyDescent="0.25">
      <c r="A10" s="63" t="s">
        <v>30</v>
      </c>
      <c r="B10" s="43">
        <v>2182.672</v>
      </c>
      <c r="C10" s="43"/>
      <c r="D10" s="70">
        <v>1535.2558047120262</v>
      </c>
      <c r="E10" s="43">
        <v>23.145</v>
      </c>
      <c r="F10" s="70">
        <f t="shared" ref="F10:F13" si="0">(D10-E10)*1.055</f>
        <v>1595.2768989711876</v>
      </c>
      <c r="G10" s="68">
        <f>F10/B10*100</f>
        <v>73.088255998665289</v>
      </c>
      <c r="H10" s="88"/>
      <c r="I10" s="43">
        <v>197.45</v>
      </c>
      <c r="J10" s="43">
        <v>29.7</v>
      </c>
      <c r="K10" s="42">
        <v>100.94</v>
      </c>
      <c r="L10" s="42">
        <v>43.03</v>
      </c>
      <c r="M10" s="42">
        <v>64.739999999999995</v>
      </c>
      <c r="N10" s="42">
        <v>55.587000000000003</v>
      </c>
      <c r="O10" s="42">
        <v>44.09</v>
      </c>
      <c r="P10" s="42">
        <f>28.854+4.031</f>
        <v>32.884999999999998</v>
      </c>
      <c r="Q10" s="42">
        <v>4.6929999999999996</v>
      </c>
      <c r="R10" s="42">
        <v>8.0259999999999998</v>
      </c>
      <c r="S10" s="42">
        <v>6.9850000000000003</v>
      </c>
      <c r="T10" s="79">
        <v>8.64</v>
      </c>
      <c r="U10" s="79">
        <v>8.6839999999999993</v>
      </c>
      <c r="V10" s="43">
        <v>17.47</v>
      </c>
      <c r="W10" s="43">
        <v>23.145</v>
      </c>
    </row>
    <row r="11" spans="1:23" x14ac:dyDescent="0.25">
      <c r="A11" s="63" t="s">
        <v>29</v>
      </c>
      <c r="B11" s="43">
        <v>44.375999999999998</v>
      </c>
      <c r="C11" s="43"/>
      <c r="D11" s="70">
        <v>14.675049999999999</v>
      </c>
      <c r="E11" s="43">
        <v>0.17199999999999999</v>
      </c>
      <c r="F11" s="70">
        <f t="shared" si="0"/>
        <v>15.300717749999997</v>
      </c>
      <c r="G11" s="68">
        <f t="shared" ref="G11:G13" si="1">F11/B11*100</f>
        <v>34.479713696592746</v>
      </c>
      <c r="H11" s="88"/>
      <c r="I11" s="42"/>
      <c r="J11" s="42">
        <v>0.4</v>
      </c>
      <c r="K11" s="42">
        <v>1.87</v>
      </c>
      <c r="L11" s="42">
        <v>2.0499999999999998</v>
      </c>
      <c r="M11" s="42">
        <v>2.56</v>
      </c>
      <c r="N11" s="42">
        <v>1.0900000000000001</v>
      </c>
      <c r="O11" s="42">
        <v>0.31</v>
      </c>
      <c r="P11" s="42">
        <v>0.155</v>
      </c>
      <c r="Q11" s="42"/>
      <c r="R11" s="42">
        <v>1.4E-2</v>
      </c>
      <c r="S11" s="42"/>
      <c r="T11" s="79">
        <v>0.4</v>
      </c>
      <c r="U11" s="79">
        <v>0.315</v>
      </c>
      <c r="V11" s="43">
        <v>0</v>
      </c>
      <c r="W11" s="43">
        <v>0.17199999999999999</v>
      </c>
    </row>
    <row r="12" spans="1:23" x14ac:dyDescent="0.25">
      <c r="A12" s="63" t="s">
        <v>31</v>
      </c>
      <c r="B12" s="43">
        <v>61.832999999999998</v>
      </c>
      <c r="C12" s="43">
        <f>67.46-B12</f>
        <v>5.6269999999999953</v>
      </c>
      <c r="D12" s="70">
        <v>45.516421586241002</v>
      </c>
      <c r="E12" s="43"/>
      <c r="F12" s="70">
        <f t="shared" si="0"/>
        <v>48.019824773484252</v>
      </c>
      <c r="G12" s="68">
        <f t="shared" si="1"/>
        <v>77.660512628344506</v>
      </c>
      <c r="H12" s="88"/>
      <c r="I12" s="42"/>
      <c r="J12" s="42">
        <v>0.2</v>
      </c>
      <c r="K12" s="42"/>
      <c r="L12" s="42">
        <v>0.25</v>
      </c>
      <c r="M12" s="42"/>
      <c r="N12" s="42"/>
      <c r="O12" s="42"/>
      <c r="P12" s="42"/>
      <c r="Q12" s="42"/>
      <c r="R12" s="42"/>
      <c r="S12" s="42"/>
      <c r="T12" s="68">
        <v>0.38</v>
      </c>
      <c r="U12" s="68"/>
      <c r="V12" s="43">
        <v>0</v>
      </c>
      <c r="W12" s="43"/>
    </row>
    <row r="13" spans="1:23" ht="51" x14ac:dyDescent="0.25">
      <c r="A13" s="63" t="s">
        <v>36</v>
      </c>
      <c r="B13" s="43">
        <v>1055</v>
      </c>
      <c r="C13" s="43">
        <f>1075-B13</f>
        <v>20</v>
      </c>
      <c r="D13" s="70">
        <v>679.24078187499993</v>
      </c>
      <c r="E13" s="43">
        <v>10</v>
      </c>
      <c r="F13" s="70">
        <f t="shared" si="0"/>
        <v>706.0490248781249</v>
      </c>
      <c r="G13" s="68">
        <f t="shared" si="1"/>
        <v>66.924078187499987</v>
      </c>
      <c r="H13" s="88"/>
      <c r="I13" s="42">
        <v>35</v>
      </c>
      <c r="J13" s="42">
        <v>39</v>
      </c>
      <c r="K13" s="42">
        <v>119</v>
      </c>
      <c r="L13" s="42">
        <v>5</v>
      </c>
      <c r="M13" s="42">
        <v>27</v>
      </c>
      <c r="N13" s="42">
        <v>14</v>
      </c>
      <c r="O13" s="42">
        <v>7</v>
      </c>
      <c r="P13" s="42">
        <v>8</v>
      </c>
      <c r="Q13" s="42"/>
      <c r="R13" s="42"/>
      <c r="S13" s="42">
        <v>1</v>
      </c>
      <c r="T13" s="43">
        <v>38</v>
      </c>
      <c r="U13" s="43">
        <v>10</v>
      </c>
      <c r="V13" s="43">
        <v>19</v>
      </c>
      <c r="W13" s="43">
        <v>10</v>
      </c>
    </row>
    <row r="14" spans="1:23" x14ac:dyDescent="0.25">
      <c r="A14" s="74" t="s">
        <v>53</v>
      </c>
      <c r="B14" s="64"/>
      <c r="C14" s="75"/>
      <c r="D14" s="76"/>
      <c r="E14" s="77"/>
      <c r="F14" s="77"/>
      <c r="G14" s="77">
        <f>SUM(G9,G11,G13)/3</f>
        <v>57.540724540594624</v>
      </c>
      <c r="H14" s="78"/>
      <c r="I14" s="78"/>
      <c r="J14" s="78"/>
      <c r="K14" s="78"/>
      <c r="L14" s="78"/>
      <c r="M14" s="78"/>
      <c r="N14" s="78"/>
    </row>
    <row r="15" spans="1:23" x14ac:dyDescent="0.25">
      <c r="A15" s="74" t="s">
        <v>54</v>
      </c>
      <c r="B15" s="64"/>
      <c r="C15" s="75"/>
      <c r="D15" s="76"/>
      <c r="E15" s="77"/>
      <c r="F15" s="77"/>
      <c r="G15" s="77">
        <f>SUM(G10,G12)/2</f>
        <v>75.374384313504891</v>
      </c>
      <c r="H15" s="78"/>
      <c r="I15" s="78"/>
      <c r="J15" s="78"/>
      <c r="K15" s="78"/>
      <c r="L15" s="78"/>
      <c r="M15" s="78"/>
      <c r="N15" s="78"/>
    </row>
    <row r="17" spans="1:15" ht="39" x14ac:dyDescent="0.25">
      <c r="A17" s="67" t="s">
        <v>35</v>
      </c>
      <c r="B17" s="60"/>
      <c r="C17" s="60"/>
      <c r="D17" s="60"/>
      <c r="E17" s="60"/>
      <c r="F17" s="60"/>
      <c r="G17" s="60"/>
      <c r="H17" s="60"/>
      <c r="I17" s="60"/>
    </row>
    <row r="18" spans="1:15" x14ac:dyDescent="0.25">
      <c r="A18" s="60"/>
      <c r="B18" s="60"/>
      <c r="C18" s="60"/>
      <c r="D18" s="60"/>
      <c r="E18" s="60"/>
      <c r="F18" s="60"/>
      <c r="G18" s="60"/>
      <c r="H18" s="60"/>
      <c r="I18" s="60"/>
    </row>
    <row r="19" spans="1:15" ht="16.5" x14ac:dyDescent="0.25">
      <c r="A19" s="87" t="s">
        <v>40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</row>
    <row r="22" spans="1:15" x14ac:dyDescent="0.25">
      <c r="A22" s="84" t="s">
        <v>46</v>
      </c>
      <c r="B22" s="71" t="s">
        <v>83</v>
      </c>
      <c r="C22" s="71"/>
      <c r="D22" s="71" t="s">
        <v>48</v>
      </c>
      <c r="E22" s="72"/>
    </row>
    <row r="23" spans="1:15" x14ac:dyDescent="0.25">
      <c r="A23" s="71"/>
      <c r="B23" s="71"/>
      <c r="C23" s="71"/>
      <c r="D23" s="71"/>
      <c r="E23" s="72"/>
      <c r="I23" s="64"/>
    </row>
    <row r="24" spans="1:15" x14ac:dyDescent="0.25">
      <c r="A24" s="71" t="s">
        <v>49</v>
      </c>
      <c r="B24" s="71" t="s">
        <v>99</v>
      </c>
      <c r="C24" s="71"/>
      <c r="D24" s="71" t="s">
        <v>48</v>
      </c>
      <c r="E24" s="72"/>
      <c r="F24" s="71"/>
    </row>
  </sheetData>
  <mergeCells count="14">
    <mergeCell ref="H6:H7"/>
    <mergeCell ref="I6:W6"/>
    <mergeCell ref="H9:H13"/>
    <mergeCell ref="A19:O19"/>
    <mergeCell ref="A2:O2"/>
    <mergeCell ref="A3:O3"/>
    <mergeCell ref="A4:O4"/>
    <mergeCell ref="A6:A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6</vt:i4>
      </vt:variant>
    </vt:vector>
  </HeadingPairs>
  <TitlesOfParts>
    <vt:vector size="18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На подпись</vt:lpstr>
      <vt:lpstr>Наброски</vt:lpstr>
      <vt:lpstr>для Букина на 02.03.16</vt:lpstr>
      <vt:lpstr>'2015'!Область_печати</vt:lpstr>
      <vt:lpstr>'2016'!Область_печати</vt:lpstr>
      <vt:lpstr>'2017'!Область_печати</vt:lpstr>
      <vt:lpstr>'2018'!Область_печати</vt:lpstr>
      <vt:lpstr>'2019'!Область_печати</vt:lpstr>
      <vt:lpstr>'2020'!Область_печати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mozhov_ps</dc:creator>
  <cp:lastModifiedBy>Пчелкин Алексей Евгеньевич</cp:lastModifiedBy>
  <cp:lastPrinted>2019-03-22T05:01:29Z</cp:lastPrinted>
  <dcterms:created xsi:type="dcterms:W3CDTF">2012-03-20T05:16:37Z</dcterms:created>
  <dcterms:modified xsi:type="dcterms:W3CDTF">2024-03-29T10:16:25Z</dcterms:modified>
</cp:coreProperties>
</file>